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11640" firstSheet="2" activeTab="5"/>
  </bookViews>
  <sheets>
    <sheet name="Seizoenstijd" sheetId="1" r:id="rId1"/>
    <sheet name="PR's" sheetId="2" r:id="rId2"/>
    <sheet name="gereden Clubrecords" sheetId="3" r:id="rId3"/>
    <sheet name="Clubrecords Dames" sheetId="4" r:id="rId4"/>
    <sheet name="Clubrecords Heren" sheetId="5" r:id="rId5"/>
    <sheet name="Klassement 500-1000-1500" sheetId="6" r:id="rId6"/>
    <sheet name="progressie" sheetId="7" r:id="rId7"/>
    <sheet name="Klasse indeling 2006-2007" sheetId="8" r:id="rId8"/>
    <sheet name="Haitsma" sheetId="9" r:id="rId9"/>
    <sheet name="PR-Score" sheetId="10" r:id="rId10"/>
  </sheets>
  <definedNames/>
  <calcPr fullCalcOnLoad="1"/>
</workbook>
</file>

<file path=xl/sharedStrings.xml><?xml version="1.0" encoding="utf-8"?>
<sst xmlns="http://schemas.openxmlformats.org/spreadsheetml/2006/main" count="3187" uniqueCount="277">
  <si>
    <t>naam</t>
  </si>
  <si>
    <t>jr</t>
  </si>
  <si>
    <t>cat.</t>
  </si>
  <si>
    <t>kls</t>
  </si>
  <si>
    <t>pnt.500/1000/1500</t>
  </si>
  <si>
    <t>pr</t>
  </si>
  <si>
    <t>05-'06</t>
  </si>
  <si>
    <t>Huub van der Wart</t>
  </si>
  <si>
    <t>H</t>
  </si>
  <si>
    <t>n.sen</t>
  </si>
  <si>
    <t>Rutmer van Weringh</t>
  </si>
  <si>
    <t>sen</t>
  </si>
  <si>
    <t>Oliver Sundberg</t>
  </si>
  <si>
    <t>Sen</t>
  </si>
  <si>
    <t>Lennart van Vliet</t>
  </si>
  <si>
    <t>L</t>
  </si>
  <si>
    <t>Jaap Dik de Lugt</t>
  </si>
  <si>
    <t>Freek van der Wart</t>
  </si>
  <si>
    <t>jun.A</t>
  </si>
  <si>
    <t>Kjeld Slingerland</t>
  </si>
  <si>
    <t>Bart Hakkenberg</t>
  </si>
  <si>
    <t>Eddie Turfboer</t>
  </si>
  <si>
    <t>Remco de Mik</t>
  </si>
  <si>
    <t>Emiel de Haan</t>
  </si>
  <si>
    <t>Frank Heijerman</t>
  </si>
  <si>
    <t>Vet</t>
  </si>
  <si>
    <t>Alwin Baumeister</t>
  </si>
  <si>
    <t>Koen Hakkenberg</t>
  </si>
  <si>
    <t>jun.B</t>
  </si>
  <si>
    <t>Thomas Paauw</t>
  </si>
  <si>
    <t>Rudy Koek</t>
  </si>
  <si>
    <t>Axel Smit</t>
  </si>
  <si>
    <t>Ingmar van Riel</t>
  </si>
  <si>
    <t>Cas Retel</t>
  </si>
  <si>
    <t>Daniel Dusseljee</t>
  </si>
  <si>
    <t>Harmen van der Spek</t>
  </si>
  <si>
    <t>Youri Alting</t>
  </si>
  <si>
    <t>Mark Dobbe</t>
  </si>
  <si>
    <t>Nico Woldendorp</t>
  </si>
  <si>
    <t>Hans van Druenen</t>
  </si>
  <si>
    <t>Sanne van Kerkhof</t>
  </si>
  <si>
    <t>D</t>
  </si>
  <si>
    <t>Tim Broekmeulen</t>
  </si>
  <si>
    <t>Marcel Jansen</t>
  </si>
  <si>
    <t>Thomas van der Vaart</t>
  </si>
  <si>
    <t>Sonja Uittenboogaard</t>
  </si>
  <si>
    <t>Hilbert Dekker</t>
  </si>
  <si>
    <t>1:30.52</t>
  </si>
  <si>
    <t>Ruud Verlaan</t>
  </si>
  <si>
    <t>2:20.73</t>
  </si>
  <si>
    <t>Paul van Zuylen</t>
  </si>
  <si>
    <t>Ruud den Boer</t>
  </si>
  <si>
    <t>Lucy Retel</t>
  </si>
  <si>
    <t>jun.C</t>
  </si>
  <si>
    <t>Yvo Waalewijn</t>
  </si>
  <si>
    <t>Lennart van Tol</t>
  </si>
  <si>
    <t>Jelle van der Loo</t>
  </si>
  <si>
    <t>Sam Dijs</t>
  </si>
  <si>
    <t>Jan Ottervanger</t>
  </si>
  <si>
    <t>Denise van Vliet</t>
  </si>
  <si>
    <t>Django Buijs</t>
  </si>
  <si>
    <t>Elisa van Leijenhorst</t>
  </si>
  <si>
    <t>Lisa Berentschot</t>
  </si>
  <si>
    <t>Maikel Huisman</t>
  </si>
  <si>
    <t>Patricia van Berkel</t>
  </si>
  <si>
    <t>Lisanne Huisman</t>
  </si>
  <si>
    <t>Sheila Berentschot</t>
  </si>
  <si>
    <t>Stephan Dekker</t>
  </si>
  <si>
    <t>Dennis Scheermeijer</t>
  </si>
  <si>
    <t>Boaz van Noppen</t>
  </si>
  <si>
    <t>Yara van Kerkhof</t>
  </si>
  <si>
    <t>Peter Fakkeldij</t>
  </si>
  <si>
    <t>Guus Janssen</t>
  </si>
  <si>
    <t>Marielle Koek</t>
  </si>
  <si>
    <t>Daisy van Dijk</t>
  </si>
  <si>
    <t>Yvonne van Dam</t>
  </si>
  <si>
    <t>Francien Westerman</t>
  </si>
  <si>
    <t>Emilia Gvozdenovic</t>
  </si>
  <si>
    <t>Pieter Stoop</t>
  </si>
  <si>
    <t>Esther Hagen</t>
  </si>
  <si>
    <t>Milou Verhoeks</t>
  </si>
  <si>
    <t>Patricia van der Kooy</t>
  </si>
  <si>
    <t>Maarten Weening</t>
  </si>
  <si>
    <t>Corinne Out</t>
  </si>
  <si>
    <t>Anne Schuilenburg</t>
  </si>
  <si>
    <t>Ilse Groenewegen</t>
  </si>
  <si>
    <t>Bas van Mullem</t>
  </si>
  <si>
    <t>Mariette van Mullem</t>
  </si>
  <si>
    <t>Marloes Wijnberger</t>
  </si>
  <si>
    <t>Christel Dekker</t>
  </si>
  <si>
    <t>Jaap van Mullem</t>
  </si>
  <si>
    <t>Nellie Stoop</t>
  </si>
  <si>
    <t>Judith Uittenboogaard</t>
  </si>
  <si>
    <t>Chantal Verbeek</t>
  </si>
  <si>
    <t>Marc van der Helm</t>
  </si>
  <si>
    <t>Michelle de Bruin</t>
  </si>
  <si>
    <t>a</t>
  </si>
  <si>
    <t>Pup</t>
  </si>
  <si>
    <t>Niels Waalewijn</t>
  </si>
  <si>
    <t>Nicole van der Helm</t>
  </si>
  <si>
    <t>b</t>
  </si>
  <si>
    <t>Casper Pak</t>
  </si>
  <si>
    <t>Floor van Goudoever</t>
  </si>
  <si>
    <t>Nelke van der Eijk</t>
  </si>
  <si>
    <t>Michel Boekhout</t>
  </si>
  <si>
    <t>Bas Kaag</t>
  </si>
  <si>
    <t>Kai Smit</t>
  </si>
  <si>
    <t>Daniëlle Vrolijk</t>
  </si>
  <si>
    <t>Paul van der Spek</t>
  </si>
  <si>
    <t>Johan Uittenboogaard</t>
  </si>
  <si>
    <t>Robbin Heijerman</t>
  </si>
  <si>
    <t>Richard Vrolijk</t>
  </si>
  <si>
    <t>Peter van der Wart</t>
  </si>
  <si>
    <t>Nina van Tol</t>
  </si>
  <si>
    <t>Pup.</t>
  </si>
  <si>
    <t>Elsemieke van Zuylen</t>
  </si>
  <si>
    <t>Jeroen Hubert</t>
  </si>
  <si>
    <t>Maarten Wormer</t>
  </si>
  <si>
    <t>Charlotte Kors</t>
  </si>
  <si>
    <t>Johan van der Spek</t>
  </si>
  <si>
    <t>neo.S</t>
  </si>
  <si>
    <t>Edwin van Toor</t>
  </si>
  <si>
    <t>Julia Berentschot</t>
  </si>
  <si>
    <t>Harro van Leijenhorst</t>
  </si>
  <si>
    <t>Dewy Harteveld</t>
  </si>
  <si>
    <t>Bob Taal</t>
  </si>
  <si>
    <t>Emiel Por</t>
  </si>
  <si>
    <t>Kelvin van Ham</t>
  </si>
  <si>
    <t>Wim Slingerland</t>
  </si>
  <si>
    <t>Roselie Huisman</t>
  </si>
  <si>
    <t>Lisanne Bruinsma</t>
  </si>
  <si>
    <t>Kees Hakkenberg</t>
  </si>
  <si>
    <t>Lizzy van Tol</t>
  </si>
  <si>
    <t>Renske van Riel</t>
  </si>
  <si>
    <t>Piet Bakker</t>
  </si>
  <si>
    <t>Niek Adema</t>
  </si>
  <si>
    <t>Hans Uittenboogaard</t>
  </si>
  <si>
    <t>Leeyen Harteveld</t>
  </si>
  <si>
    <t>Ruben de Jonge</t>
  </si>
  <si>
    <t>Wilbert Bergacker</t>
  </si>
  <si>
    <t>Jun.A</t>
  </si>
  <si>
    <t>Evelien van Tol</t>
  </si>
  <si>
    <t>Joyce Buijs</t>
  </si>
  <si>
    <t>Jake van Steenbergen</t>
  </si>
  <si>
    <t>Annelies Oude Alink</t>
  </si>
  <si>
    <t>Loys Vermeyden</t>
  </si>
  <si>
    <t>Peter Kors</t>
  </si>
  <si>
    <t>Kirsten Molle</t>
  </si>
  <si>
    <t>Peter Dobbe</t>
  </si>
  <si>
    <t>Gert Jan van der Kooy</t>
  </si>
  <si>
    <t>Harry Duynisveld</t>
  </si>
  <si>
    <t>Liesbeth Milatz</t>
  </si>
  <si>
    <t>Gerbine Volmer</t>
  </si>
  <si>
    <t>Jaap Eindhoven</t>
  </si>
  <si>
    <t>Peter Dusseljee</t>
  </si>
  <si>
    <t xml:space="preserve">Johan van Rooijen </t>
  </si>
  <si>
    <t xml:space="preserve">H </t>
  </si>
  <si>
    <t>Anna van der Sterre</t>
  </si>
  <si>
    <t>Dick Waalenwijn</t>
  </si>
  <si>
    <t>Lex Knijnenburg</t>
  </si>
  <si>
    <t>Robin Veira</t>
  </si>
  <si>
    <t>Anne Por</t>
  </si>
  <si>
    <t>Rob Hesseling</t>
  </si>
  <si>
    <t>E</t>
  </si>
  <si>
    <t>Amin Fallahi</t>
  </si>
  <si>
    <t>Jesse Scholten</t>
  </si>
  <si>
    <t>Pieter den Dekker</t>
  </si>
  <si>
    <t>Nico van Dijk</t>
  </si>
  <si>
    <t>Evelien Kors</t>
  </si>
  <si>
    <t>c</t>
  </si>
  <si>
    <t>Mandy Duynisvrld</t>
  </si>
  <si>
    <t>Oliver Juffermans</t>
  </si>
  <si>
    <t>David Jan Berentschot</t>
  </si>
  <si>
    <t>Jun.B</t>
  </si>
  <si>
    <t>d</t>
  </si>
  <si>
    <t>Marc Friebel</t>
  </si>
  <si>
    <t>Lex van Tol</t>
  </si>
  <si>
    <t>Sandor Woldendorp</t>
  </si>
  <si>
    <t>George Onos</t>
  </si>
  <si>
    <t>Dick Merbis</t>
  </si>
  <si>
    <t>Margreet Merbis</t>
  </si>
  <si>
    <t>Eline van Vliet</t>
  </si>
  <si>
    <t>Rob Teuwen</t>
  </si>
  <si>
    <t>Martijn Belgraver</t>
  </si>
  <si>
    <t>Bernard van de Bosch</t>
  </si>
  <si>
    <t>Nicolien Borst</t>
  </si>
  <si>
    <t>Rene Vermeulen</t>
  </si>
  <si>
    <t>Sen.</t>
  </si>
  <si>
    <t>Jos Westerman</t>
  </si>
  <si>
    <t>Remco Belgraver</t>
  </si>
  <si>
    <t>Bart van der Ven</t>
  </si>
  <si>
    <t>Lieneke Uittenboogaard</t>
  </si>
  <si>
    <t>Lennert Baumeister</t>
  </si>
  <si>
    <t>Ad van Bergen</t>
  </si>
  <si>
    <t>Jos van Wijk</t>
  </si>
  <si>
    <t>Fred van Loenen</t>
  </si>
  <si>
    <t>Karen den Boer</t>
  </si>
  <si>
    <t>Leen Graper</t>
  </si>
  <si>
    <t>Cecile Hampsink</t>
  </si>
  <si>
    <t>Fred Retel</t>
  </si>
  <si>
    <t>Hans Engelbertink</t>
  </si>
  <si>
    <t>Wouter Adriaans</t>
  </si>
  <si>
    <t>Toon Ham</t>
  </si>
  <si>
    <t>Henk Blaauwgeers</t>
  </si>
  <si>
    <t>Jose Westerman</t>
  </si>
  <si>
    <t>Peter van Eyk</t>
  </si>
  <si>
    <t>Yvonne Villerius</t>
  </si>
  <si>
    <t>Yvonne Pont</t>
  </si>
  <si>
    <t>Moniek Hakkenberg</t>
  </si>
  <si>
    <t>Maria van Griensven</t>
  </si>
  <si>
    <t>CLUBRECORDS DAMES</t>
  </si>
  <si>
    <t>1500 mtr</t>
  </si>
  <si>
    <t>junioren C</t>
  </si>
  <si>
    <t>uithof</t>
  </si>
  <si>
    <t>heerenveen</t>
  </si>
  <si>
    <t>CLUBRECORDS HEREN</t>
  </si>
  <si>
    <t>100 mtr</t>
  </si>
  <si>
    <t>pupillen</t>
  </si>
  <si>
    <t>1000 mtr</t>
  </si>
  <si>
    <t>300 mtr</t>
  </si>
  <si>
    <t>Baanrecord</t>
  </si>
  <si>
    <t>deventer</t>
  </si>
  <si>
    <t>500 mtr</t>
  </si>
  <si>
    <t>neo-senioren</t>
  </si>
  <si>
    <t>utrecht</t>
  </si>
  <si>
    <t>nijmegen</t>
  </si>
  <si>
    <t>erfurt</t>
  </si>
  <si>
    <t>3000 mtr</t>
  </si>
  <si>
    <t>5000 mtr</t>
  </si>
  <si>
    <t>senioren</t>
  </si>
  <si>
    <t>Turijn</t>
  </si>
  <si>
    <t>niet sara/wel isu</t>
  </si>
  <si>
    <t>10000 mtr</t>
  </si>
  <si>
    <t>groningen</t>
  </si>
  <si>
    <t>Uithof</t>
  </si>
  <si>
    <t>junioren B</t>
  </si>
  <si>
    <t>junioren A</t>
  </si>
  <si>
    <t>Angela de Graaf</t>
  </si>
  <si>
    <t>Chantal Hoefsloot</t>
  </si>
  <si>
    <t>Utrecht</t>
  </si>
  <si>
    <t>Alkmaar</t>
  </si>
  <si>
    <t>Heerenveen</t>
  </si>
  <si>
    <t>1,30,31</t>
  </si>
  <si>
    <t>1,26,19</t>
  </si>
  <si>
    <t>1,24,36</t>
  </si>
  <si>
    <t>Collalbo</t>
  </si>
  <si>
    <t>1,31,14</t>
  </si>
  <si>
    <t>2,12,57</t>
  </si>
  <si>
    <t>2,11,43</t>
  </si>
  <si>
    <t>Groningen</t>
  </si>
  <si>
    <t>2,24,78</t>
  </si>
  <si>
    <t>4,58,46</t>
  </si>
  <si>
    <t>4,39,23</t>
  </si>
  <si>
    <t>4,39,81</t>
  </si>
  <si>
    <t>5,29,16</t>
  </si>
  <si>
    <t>17,57,31</t>
  </si>
  <si>
    <t>Quincy Zevenbergen</t>
  </si>
  <si>
    <t>geleen</t>
  </si>
  <si>
    <t>Breda</t>
  </si>
  <si>
    <t>callalbo</t>
  </si>
  <si>
    <t>1,21,86</t>
  </si>
  <si>
    <t>1,16,68</t>
  </si>
  <si>
    <t>2,04,41</t>
  </si>
  <si>
    <t>1,57,41</t>
  </si>
  <si>
    <t>Collolba</t>
  </si>
  <si>
    <t>4,07,07</t>
  </si>
  <si>
    <t>7,26,88</t>
  </si>
  <si>
    <t>eindhoven</t>
  </si>
  <si>
    <t>16,02,21</t>
  </si>
  <si>
    <t>aantal wedstrijden 05-06</t>
  </si>
  <si>
    <t>aantal pr 05-06</t>
  </si>
  <si>
    <t>procent score pr's</t>
  </si>
  <si>
    <t>weds.</t>
  </si>
  <si>
    <t>totaal</t>
  </si>
  <si>
    <t>prom</t>
  </si>
  <si>
    <t>punten</t>
  </si>
  <si>
    <t>pnt</t>
  </si>
</sst>
</file>

<file path=xl/styles.xml><?xml version="1.0" encoding="utf-8"?>
<styleSheet xmlns="http://schemas.openxmlformats.org/spreadsheetml/2006/main">
  <numFmts count="19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ss.00"/>
    <numFmt numFmtId="165" formatCode="m:ss.00"/>
    <numFmt numFmtId="166" formatCode="mm:ss.00"/>
    <numFmt numFmtId="167" formatCode="0.000"/>
    <numFmt numFmtId="168" formatCode="000.000"/>
    <numFmt numFmtId="169" formatCode="0.000;[Red]0.000"/>
    <numFmt numFmtId="170" formatCode="0.00_ ;[Red]\-0.00\ "/>
    <numFmt numFmtId="171" formatCode="\-ss.00"/>
    <numFmt numFmtId="172" formatCode="s.00"/>
    <numFmt numFmtId="173" formatCode="\-s.00"/>
    <numFmt numFmtId="174" formatCode="0.0%"/>
  </numFmts>
  <fonts count="18">
    <font>
      <sz val="10"/>
      <name val="Arial"/>
      <family val="0"/>
    </font>
    <font>
      <sz val="8"/>
      <name val="Arial"/>
      <family val="0"/>
    </font>
    <font>
      <sz val="8"/>
      <name val="Geneva"/>
      <family val="0"/>
    </font>
    <font>
      <sz val="10"/>
      <name val="Geneva"/>
      <family val="0"/>
    </font>
    <font>
      <sz val="8"/>
      <color indexed="10"/>
      <name val="Geneva"/>
      <family val="0"/>
    </font>
    <font>
      <sz val="8"/>
      <color indexed="17"/>
      <name val="Geneva"/>
      <family val="0"/>
    </font>
    <font>
      <sz val="8"/>
      <color indexed="10"/>
      <name val="Arial"/>
      <family val="2"/>
    </font>
    <font>
      <sz val="8"/>
      <color indexed="17"/>
      <name val="Arial"/>
      <family val="2"/>
    </font>
    <font>
      <sz val="8"/>
      <name val="Helvetica"/>
      <family val="0"/>
    </font>
    <font>
      <b/>
      <sz val="12"/>
      <name val="Geneva"/>
      <family val="0"/>
    </font>
    <font>
      <sz val="10"/>
      <color indexed="10"/>
      <name val="Arial"/>
      <family val="0"/>
    </font>
    <font>
      <b/>
      <sz val="9"/>
      <name val="Geneva"/>
      <family val="0"/>
    </font>
    <font>
      <sz val="9"/>
      <name val="Geneva"/>
      <family val="0"/>
    </font>
    <font>
      <b/>
      <sz val="10"/>
      <name val="Geneva"/>
      <family val="0"/>
    </font>
    <font>
      <b/>
      <sz val="8"/>
      <name val="Arial"/>
      <family val="2"/>
    </font>
    <font>
      <b/>
      <sz val="8"/>
      <name val="Geneva"/>
      <family val="0"/>
    </font>
    <font>
      <sz val="8"/>
      <color indexed="8"/>
      <name val="Geneva"/>
      <family val="0"/>
    </font>
    <font>
      <sz val="8"/>
      <color indexed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>
      <alignment/>
      <protection/>
    </xf>
  </cellStyleXfs>
  <cellXfs count="21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20" applyFont="1" applyAlignment="1">
      <alignment horizontal="center"/>
      <protection/>
    </xf>
    <xf numFmtId="0" fontId="2" fillId="0" borderId="0" xfId="20" applyFont="1" applyAlignment="1" applyProtection="1">
      <alignment horizontal="left"/>
      <protection locked="0"/>
    </xf>
    <xf numFmtId="0" fontId="2" fillId="0" borderId="0" xfId="20" applyFont="1" applyAlignment="1" applyProtection="1">
      <alignment horizontal="center"/>
      <protection locked="0"/>
    </xf>
    <xf numFmtId="0" fontId="2" fillId="0" borderId="0" xfId="20" applyFont="1">
      <alignment/>
      <protection/>
    </xf>
    <xf numFmtId="0" fontId="4" fillId="0" borderId="0" xfId="20" applyFont="1" applyAlignment="1" applyProtection="1">
      <alignment horizontal="center"/>
      <protection locked="0"/>
    </xf>
    <xf numFmtId="2" fontId="2" fillId="0" borderId="0" xfId="20" applyNumberFormat="1" applyFont="1" applyAlignment="1" applyProtection="1">
      <alignment horizontal="center"/>
      <protection locked="0"/>
    </xf>
    <xf numFmtId="164" fontId="2" fillId="0" borderId="0" xfId="20" applyNumberFormat="1" applyFont="1" applyAlignment="1" applyProtection="1">
      <alignment horizontal="center"/>
      <protection locked="0"/>
    </xf>
    <xf numFmtId="165" fontId="2" fillId="0" borderId="0" xfId="20" applyNumberFormat="1" applyFont="1" applyAlignment="1" applyProtection="1">
      <alignment horizontal="center"/>
      <protection locked="0"/>
    </xf>
    <xf numFmtId="0" fontId="5" fillId="0" borderId="0" xfId="20" applyFont="1">
      <alignment/>
      <protection/>
    </xf>
    <xf numFmtId="0" fontId="1" fillId="0" borderId="0" xfId="0" applyFont="1" applyAlignment="1">
      <alignment/>
    </xf>
    <xf numFmtId="0" fontId="2" fillId="0" borderId="0" xfId="20" applyFont="1" applyBorder="1" applyAlignment="1" applyProtection="1">
      <alignment horizontal="center"/>
      <protection locked="0"/>
    </xf>
    <xf numFmtId="0" fontId="2" fillId="0" borderId="0" xfId="20" applyFont="1" applyBorder="1">
      <alignment/>
      <protection/>
    </xf>
    <xf numFmtId="0" fontId="1" fillId="0" borderId="0" xfId="0" applyFont="1" applyAlignment="1">
      <alignment horizontal="center"/>
    </xf>
    <xf numFmtId="0" fontId="1" fillId="0" borderId="0" xfId="20" applyFont="1" applyAlignment="1" applyProtection="1">
      <alignment horizontal="center"/>
      <protection locked="0"/>
    </xf>
    <xf numFmtId="0" fontId="1" fillId="0" borderId="0" xfId="20" applyFont="1" applyAlignment="1" applyProtection="1">
      <alignment horizontal="left"/>
      <protection locked="0"/>
    </xf>
    <xf numFmtId="0" fontId="1" fillId="0" borderId="0" xfId="20" applyFont="1" applyBorder="1" applyAlignment="1" applyProtection="1">
      <alignment horizontal="center"/>
      <protection locked="0"/>
    </xf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166" fontId="1" fillId="0" borderId="0" xfId="0" applyNumberFormat="1" applyFont="1" applyAlignment="1">
      <alignment/>
    </xf>
    <xf numFmtId="167" fontId="1" fillId="0" borderId="0" xfId="20" applyNumberFormat="1" applyFont="1" applyAlignment="1" applyProtection="1">
      <alignment horizontal="center"/>
      <protection locked="0"/>
    </xf>
    <xf numFmtId="164" fontId="6" fillId="0" borderId="0" xfId="0" applyNumberFormat="1" applyFont="1" applyAlignment="1">
      <alignment horizontal="center"/>
    </xf>
    <xf numFmtId="164" fontId="1" fillId="0" borderId="0" xfId="20" applyNumberFormat="1" applyFont="1" applyAlignment="1" applyProtection="1">
      <alignment horizontal="center"/>
      <protection locked="0"/>
    </xf>
    <xf numFmtId="164" fontId="6" fillId="0" borderId="0" xfId="20" applyNumberFormat="1" applyFont="1" applyAlignment="1" applyProtection="1">
      <alignment horizontal="center"/>
      <protection locked="0"/>
    </xf>
    <xf numFmtId="165" fontId="6" fillId="0" borderId="0" xfId="20" applyNumberFormat="1" applyFont="1" applyAlignment="1" applyProtection="1">
      <alignment horizontal="center"/>
      <protection locked="0"/>
    </xf>
    <xf numFmtId="165" fontId="1" fillId="0" borderId="0" xfId="20" applyNumberFormat="1" applyFont="1" applyAlignment="1" applyProtection="1">
      <alignment horizontal="center"/>
      <protection locked="0"/>
    </xf>
    <xf numFmtId="166" fontId="6" fillId="0" borderId="0" xfId="20" applyNumberFormat="1" applyFont="1" applyAlignment="1" applyProtection="1">
      <alignment horizontal="center"/>
      <protection locked="0"/>
    </xf>
    <xf numFmtId="166" fontId="1" fillId="0" borderId="0" xfId="20" applyNumberFormat="1" applyFont="1" applyAlignment="1" applyProtection="1">
      <alignment horizontal="center"/>
      <protection locked="0"/>
    </xf>
    <xf numFmtId="167" fontId="7" fillId="0" borderId="0" xfId="20" applyNumberFormat="1" applyFont="1" applyAlignment="1" applyProtection="1">
      <alignment horizontal="center"/>
      <protection locked="0"/>
    </xf>
    <xf numFmtId="2" fontId="1" fillId="0" borderId="0" xfId="20" applyNumberFormat="1" applyFont="1" applyAlignment="1" applyProtection="1">
      <alignment horizontal="center"/>
      <protection locked="0"/>
    </xf>
    <xf numFmtId="0" fontId="1" fillId="0" borderId="0" xfId="20" applyFont="1" applyAlignment="1">
      <alignment horizontal="center"/>
      <protection/>
    </xf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166" fontId="1" fillId="0" borderId="0" xfId="0" applyNumberFormat="1" applyFont="1" applyAlignment="1">
      <alignment/>
    </xf>
    <xf numFmtId="165" fontId="1" fillId="0" borderId="0" xfId="0" applyNumberFormat="1" applyFont="1" applyAlignment="1">
      <alignment horizontal="center"/>
    </xf>
    <xf numFmtId="165" fontId="6" fillId="0" borderId="0" xfId="0" applyNumberFormat="1" applyFont="1" applyAlignment="1">
      <alignment/>
    </xf>
    <xf numFmtId="0" fontId="7" fillId="0" borderId="0" xfId="20" applyFont="1" applyAlignment="1" applyProtection="1">
      <alignment horizontal="center"/>
      <protection locked="0"/>
    </xf>
    <xf numFmtId="166" fontId="6" fillId="0" borderId="0" xfId="0" applyNumberFormat="1" applyFont="1" applyAlignment="1">
      <alignment horizontal="center"/>
    </xf>
    <xf numFmtId="166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165" fontId="6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165" fontId="6" fillId="0" borderId="0" xfId="0" applyNumberFormat="1" applyFont="1" applyAlignment="1">
      <alignment horizontal="center"/>
    </xf>
    <xf numFmtId="166" fontId="6" fillId="0" borderId="0" xfId="0" applyNumberFormat="1" applyFont="1" applyAlignment="1">
      <alignment/>
    </xf>
    <xf numFmtId="164" fontId="6" fillId="0" borderId="0" xfId="0" applyNumberFormat="1" applyFont="1" applyAlignment="1">
      <alignment horizontal="center"/>
    </xf>
    <xf numFmtId="47" fontId="6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center"/>
    </xf>
    <xf numFmtId="0" fontId="1" fillId="0" borderId="0" xfId="0" applyFont="1" applyAlignment="1" quotePrefix="1">
      <alignment/>
    </xf>
    <xf numFmtId="0" fontId="1" fillId="0" borderId="0" xfId="0" applyNumberFormat="1" applyFont="1" applyAlignment="1">
      <alignment horizontal="center"/>
    </xf>
    <xf numFmtId="0" fontId="1" fillId="0" borderId="0" xfId="20" applyFont="1" applyBorder="1" applyAlignment="1">
      <alignment horizontal="center"/>
      <protection/>
    </xf>
    <xf numFmtId="164" fontId="1" fillId="0" borderId="0" xfId="20" applyNumberFormat="1" applyFont="1" applyAlignment="1">
      <alignment horizontal="center"/>
      <protection/>
    </xf>
    <xf numFmtId="164" fontId="6" fillId="0" borderId="0" xfId="20" applyNumberFormat="1" applyFont="1" applyAlignment="1">
      <alignment horizontal="center"/>
      <protection/>
    </xf>
    <xf numFmtId="165" fontId="6" fillId="0" borderId="0" xfId="20" applyNumberFormat="1" applyFont="1" applyAlignment="1">
      <alignment horizontal="center"/>
      <protection/>
    </xf>
    <xf numFmtId="165" fontId="1" fillId="0" borderId="0" xfId="20" applyNumberFormat="1" applyFont="1" applyAlignment="1">
      <alignment horizontal="center"/>
      <protection/>
    </xf>
    <xf numFmtId="166" fontId="6" fillId="0" borderId="0" xfId="20" applyNumberFormat="1" applyFont="1" applyAlignment="1">
      <alignment horizontal="center"/>
      <protection/>
    </xf>
    <xf numFmtId="166" fontId="1" fillId="0" borderId="0" xfId="20" applyNumberFormat="1" applyFont="1" applyAlignment="1">
      <alignment horizontal="center"/>
      <protection/>
    </xf>
    <xf numFmtId="0" fontId="1" fillId="0" borderId="0" xfId="0" applyFont="1" applyAlignment="1">
      <alignment/>
    </xf>
    <xf numFmtId="168" fontId="1" fillId="0" borderId="0" xfId="20" applyNumberFormat="1" applyFont="1" applyAlignment="1" applyProtection="1">
      <alignment horizontal="center"/>
      <protection locked="0"/>
    </xf>
    <xf numFmtId="2" fontId="6" fillId="0" borderId="0" xfId="0" applyNumberFormat="1" applyFont="1" applyAlignment="1">
      <alignment horizontal="center"/>
    </xf>
    <xf numFmtId="164" fontId="6" fillId="0" borderId="0" xfId="0" applyNumberFormat="1" applyFont="1" applyAlignment="1">
      <alignment/>
    </xf>
    <xf numFmtId="0" fontId="1" fillId="0" borderId="0" xfId="20" applyFont="1" applyBorder="1" applyAlignment="1">
      <alignment horizontal="left"/>
      <protection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167" fontId="1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NumberFormat="1" applyFont="1" applyAlignment="1" quotePrefix="1">
      <alignment horizontal="center"/>
    </xf>
    <xf numFmtId="0" fontId="1" fillId="0" borderId="0" xfId="0" applyNumberFormat="1" applyFont="1" applyAlignment="1" quotePrefix="1">
      <alignment/>
    </xf>
    <xf numFmtId="0" fontId="1" fillId="0" borderId="0" xfId="0" applyNumberFormat="1" applyFont="1" applyAlignment="1">
      <alignment horizontal="center"/>
    </xf>
    <xf numFmtId="166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7" fontId="1" fillId="0" borderId="0" xfId="0" applyNumberFormat="1" applyFont="1" applyAlignment="1">
      <alignment horizontal="center"/>
    </xf>
    <xf numFmtId="172" fontId="6" fillId="0" borderId="0" xfId="0" applyNumberFormat="1" applyFont="1" applyAlignment="1">
      <alignment horizontal="center"/>
    </xf>
    <xf numFmtId="173" fontId="1" fillId="0" borderId="0" xfId="0" applyNumberFormat="1" applyFont="1" applyAlignment="1">
      <alignment horizontal="center"/>
    </xf>
    <xf numFmtId="173" fontId="1" fillId="0" borderId="0" xfId="0" applyNumberFormat="1" applyFont="1" applyAlignment="1">
      <alignment horizontal="center"/>
    </xf>
    <xf numFmtId="173" fontId="1" fillId="0" borderId="0" xfId="20" applyNumberFormat="1" applyFont="1" applyAlignment="1" applyProtection="1">
      <alignment horizontal="center"/>
      <protection locked="0"/>
    </xf>
    <xf numFmtId="172" fontId="6" fillId="0" borderId="0" xfId="20" applyNumberFormat="1" applyFont="1" applyAlignment="1" applyProtection="1">
      <alignment horizontal="center"/>
      <protection locked="0"/>
    </xf>
    <xf numFmtId="0" fontId="9" fillId="0" borderId="0" xfId="0" applyFont="1" applyAlignment="1" applyProtection="1">
      <alignment/>
      <protection locked="0"/>
    </xf>
    <xf numFmtId="0" fontId="0" fillId="0" borderId="0" xfId="0" applyAlignment="1">
      <alignment horizontal="center"/>
    </xf>
    <xf numFmtId="0" fontId="10" fillId="0" borderId="0" xfId="0" applyFont="1" applyAlignment="1">
      <alignment/>
    </xf>
    <xf numFmtId="0" fontId="0" fillId="0" borderId="0" xfId="0" applyFont="1" applyAlignment="1" applyProtection="1">
      <alignment/>
      <protection locked="0"/>
    </xf>
    <xf numFmtId="2" fontId="0" fillId="0" borderId="0" xfId="0" applyNumberFormat="1" applyFont="1" applyAlignment="1" applyProtection="1">
      <alignment horizontal="center"/>
      <protection locked="0"/>
    </xf>
    <xf numFmtId="14" fontId="0" fillId="0" borderId="0" xfId="0" applyNumberFormat="1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11" fillId="0" borderId="0" xfId="0" applyFont="1" applyAlignment="1" applyProtection="1">
      <alignment/>
      <protection locked="0"/>
    </xf>
    <xf numFmtId="0" fontId="10" fillId="0" borderId="0" xfId="20" applyFont="1" applyAlignment="1" applyProtection="1">
      <alignment horizontal="left"/>
      <protection locked="0"/>
    </xf>
    <xf numFmtId="165" fontId="10" fillId="0" borderId="0" xfId="0" applyNumberFormat="1" applyFont="1" applyAlignment="1">
      <alignment horizontal="center"/>
    </xf>
    <xf numFmtId="14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12" fillId="0" borderId="0" xfId="0" applyFont="1" applyAlignment="1" applyProtection="1">
      <alignment/>
      <protection locked="0"/>
    </xf>
    <xf numFmtId="2" fontId="12" fillId="0" borderId="0" xfId="0" applyNumberFormat="1" applyFont="1" applyAlignment="1" applyProtection="1">
      <alignment horizontal="center"/>
      <protection locked="0"/>
    </xf>
    <xf numFmtId="0" fontId="12" fillId="0" borderId="0" xfId="0" applyFont="1" applyAlignment="1" applyProtection="1">
      <alignment horizontal="center"/>
      <protection locked="0"/>
    </xf>
    <xf numFmtId="164" fontId="10" fillId="0" borderId="0" xfId="0" applyNumberFormat="1" applyFont="1" applyAlignment="1">
      <alignment horizontal="center"/>
    </xf>
    <xf numFmtId="14" fontId="10" fillId="0" borderId="0" xfId="20" applyNumberFormat="1" applyFont="1" applyAlignment="1" applyProtection="1">
      <alignment horizontal="center"/>
      <protection locked="0"/>
    </xf>
    <xf numFmtId="2" fontId="10" fillId="0" borderId="0" xfId="20" applyNumberFormat="1" applyFont="1" applyAlignment="1" applyProtection="1">
      <alignment horizontal="center"/>
      <protection locked="0"/>
    </xf>
    <xf numFmtId="167" fontId="10" fillId="0" borderId="0" xfId="20" applyNumberFormat="1" applyFont="1" applyAlignment="1" applyProtection="1">
      <alignment horizontal="center"/>
      <protection locked="0"/>
    </xf>
    <xf numFmtId="165" fontId="10" fillId="0" borderId="0" xfId="20" applyNumberFormat="1" applyFont="1" applyAlignment="1" applyProtection="1">
      <alignment horizontal="center"/>
      <protection locked="0"/>
    </xf>
    <xf numFmtId="164" fontId="10" fillId="0" borderId="0" xfId="20" applyNumberFormat="1" applyFont="1" applyAlignment="1" applyProtection="1">
      <alignment horizontal="center"/>
      <protection locked="0"/>
    </xf>
    <xf numFmtId="166" fontId="10" fillId="0" borderId="0" xfId="20" applyNumberFormat="1" applyFont="1" applyAlignment="1" applyProtection="1">
      <alignment horizontal="center"/>
      <protection locked="0"/>
    </xf>
    <xf numFmtId="165" fontId="10" fillId="0" borderId="0" xfId="20" applyNumberFormat="1" applyFont="1" applyBorder="1" applyAlignment="1" applyProtection="1">
      <alignment horizontal="center"/>
      <protection locked="0"/>
    </xf>
    <xf numFmtId="0" fontId="10" fillId="0" borderId="0" xfId="0" applyFont="1" applyAlignment="1">
      <alignment horizontal="left"/>
    </xf>
    <xf numFmtId="165" fontId="10" fillId="0" borderId="0" xfId="0" applyNumberFormat="1" applyFont="1" applyAlignment="1">
      <alignment horizontal="center"/>
    </xf>
    <xf numFmtId="14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165" fontId="10" fillId="0" borderId="0" xfId="20" applyNumberFormat="1" applyFont="1" applyAlignment="1" applyProtection="1">
      <alignment horizontal="center"/>
      <protection locked="0"/>
    </xf>
    <xf numFmtId="14" fontId="10" fillId="0" borderId="0" xfId="20" applyNumberFormat="1" applyFont="1" applyAlignment="1" applyProtection="1">
      <alignment horizontal="center"/>
      <protection locked="0"/>
    </xf>
    <xf numFmtId="2" fontId="10" fillId="0" borderId="0" xfId="20" applyNumberFormat="1" applyFont="1" applyAlignment="1" applyProtection="1">
      <alignment horizontal="center"/>
      <protection locked="0"/>
    </xf>
    <xf numFmtId="166" fontId="10" fillId="0" borderId="0" xfId="0" applyNumberFormat="1" applyFont="1" applyAlignment="1">
      <alignment horizontal="center"/>
    </xf>
    <xf numFmtId="0" fontId="13" fillId="0" borderId="0" xfId="0" applyFont="1" applyAlignment="1" applyProtection="1">
      <alignment/>
      <protection locked="0"/>
    </xf>
    <xf numFmtId="0" fontId="12" fillId="0" borderId="0" xfId="0" applyFont="1" applyAlignment="1" applyProtection="1">
      <alignment horizontal="right"/>
      <protection locked="0"/>
    </xf>
    <xf numFmtId="0" fontId="0" fillId="0" borderId="0" xfId="20" applyFont="1" applyAlignment="1" applyProtection="1">
      <alignment horizontal="left"/>
      <protection locked="0"/>
    </xf>
    <xf numFmtId="2" fontId="0" fillId="0" borderId="0" xfId="20" applyNumberFormat="1" applyFont="1" applyAlignment="1" applyProtection="1">
      <alignment horizontal="center"/>
      <protection locked="0"/>
    </xf>
    <xf numFmtId="167" fontId="0" fillId="0" borderId="0" xfId="20" applyNumberFormat="1" applyFont="1" applyAlignment="1" applyProtection="1">
      <alignment horizontal="center"/>
      <protection locked="0"/>
    </xf>
    <xf numFmtId="164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65" fontId="0" fillId="0" borderId="0" xfId="0" applyNumberFormat="1" applyFont="1" applyAlignment="1">
      <alignment horizontal="center"/>
    </xf>
    <xf numFmtId="165" fontId="0" fillId="0" borderId="0" xfId="20" applyNumberFormat="1" applyFont="1" applyAlignment="1" applyProtection="1">
      <alignment horizontal="center"/>
      <protection locked="0"/>
    </xf>
    <xf numFmtId="14" fontId="0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 locked="0"/>
    </xf>
    <xf numFmtId="0" fontId="0" fillId="0" borderId="0" xfId="20" applyFont="1" applyAlignment="1" applyProtection="1">
      <alignment horizontal="left"/>
      <protection locked="0"/>
    </xf>
    <xf numFmtId="165" fontId="0" fillId="0" borderId="0" xfId="0" applyNumberFormat="1" applyFont="1" applyAlignment="1">
      <alignment horizontal="center"/>
    </xf>
    <xf numFmtId="14" fontId="0" fillId="0" borderId="0" xfId="0" applyNumberFormat="1" applyFont="1" applyAlignment="1">
      <alignment horizontal="right"/>
    </xf>
    <xf numFmtId="0" fontId="0" fillId="0" borderId="0" xfId="0" applyFont="1" applyAlignment="1">
      <alignment horizontal="center"/>
    </xf>
    <xf numFmtId="165" fontId="0" fillId="0" borderId="0" xfId="20" applyNumberFormat="1" applyFont="1" applyAlignment="1" applyProtection="1">
      <alignment horizontal="center"/>
      <protection locked="0"/>
    </xf>
    <xf numFmtId="2" fontId="0" fillId="0" borderId="0" xfId="20" applyNumberFormat="1" applyFont="1" applyAlignment="1" applyProtection="1">
      <alignment horizontal="center"/>
      <protection locked="0"/>
    </xf>
    <xf numFmtId="2" fontId="0" fillId="0" borderId="0" xfId="0" applyNumberFormat="1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Alignment="1">
      <alignment horizontal="right"/>
    </xf>
    <xf numFmtId="14" fontId="0" fillId="0" borderId="0" xfId="0" applyNumberFormat="1" applyFont="1" applyAlignment="1" applyProtection="1">
      <alignment horizontal="right"/>
      <protection locked="0"/>
    </xf>
    <xf numFmtId="14" fontId="0" fillId="0" borderId="0" xfId="20" applyNumberFormat="1" applyFont="1" applyAlignment="1" applyProtection="1">
      <alignment horizontal="right"/>
      <protection locked="0"/>
    </xf>
    <xf numFmtId="0" fontId="0" fillId="0" borderId="0" xfId="0" applyFont="1" applyAlignment="1" applyProtection="1">
      <alignment horizontal="right"/>
      <protection locked="0"/>
    </xf>
    <xf numFmtId="14" fontId="0" fillId="0" borderId="0" xfId="20" applyNumberFormat="1" applyFont="1" applyAlignment="1" applyProtection="1">
      <alignment horizontal="right"/>
      <protection locked="0"/>
    </xf>
    <xf numFmtId="14" fontId="0" fillId="0" borderId="0" xfId="0" applyNumberFormat="1" applyFont="1" applyAlignment="1" applyProtection="1">
      <alignment horizontal="right"/>
      <protection locked="0"/>
    </xf>
    <xf numFmtId="164" fontId="0" fillId="0" borderId="0" xfId="20" applyNumberFormat="1" applyFont="1" applyAlignment="1" applyProtection="1">
      <alignment horizontal="center"/>
      <protection locked="0"/>
    </xf>
    <xf numFmtId="166" fontId="0" fillId="0" borderId="0" xfId="20" applyNumberFormat="1" applyFont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165" fontId="0" fillId="0" borderId="0" xfId="0" applyNumberFormat="1" applyFont="1" applyAlignment="1">
      <alignment horizontal="center"/>
    </xf>
    <xf numFmtId="14" fontId="0" fillId="0" borderId="0" xfId="0" applyNumberFormat="1" applyFont="1" applyAlignment="1">
      <alignment horizontal="right"/>
    </xf>
    <xf numFmtId="0" fontId="0" fillId="0" borderId="0" xfId="0" applyFont="1" applyAlignment="1">
      <alignment horizontal="center"/>
    </xf>
    <xf numFmtId="165" fontId="0" fillId="0" borderId="0" xfId="20" applyNumberFormat="1" applyFont="1" applyBorder="1" applyAlignment="1" applyProtection="1">
      <alignment horizontal="center"/>
      <protection locked="0"/>
    </xf>
    <xf numFmtId="0" fontId="0" fillId="0" borderId="0" xfId="0" applyFont="1" applyAlignment="1">
      <alignment horizontal="left"/>
    </xf>
    <xf numFmtId="166" fontId="0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2" fillId="0" borderId="0" xfId="20" applyNumberFormat="1" applyFont="1" applyAlignment="1" applyProtection="1">
      <alignment horizontal="center"/>
      <protection locked="0"/>
    </xf>
    <xf numFmtId="0" fontId="2" fillId="0" borderId="1" xfId="20" applyFont="1" applyBorder="1" applyAlignment="1">
      <alignment horizontal="center"/>
      <protection/>
    </xf>
    <xf numFmtId="0" fontId="2" fillId="0" borderId="1" xfId="20" applyFont="1" applyBorder="1" applyAlignment="1" applyProtection="1">
      <alignment horizontal="left"/>
      <protection locked="0"/>
    </xf>
    <xf numFmtId="0" fontId="2" fillId="0" borderId="1" xfId="20" applyFont="1" applyBorder="1" applyAlignment="1" applyProtection="1">
      <alignment horizontal="center"/>
      <protection locked="0"/>
    </xf>
    <xf numFmtId="0" fontId="2" fillId="0" borderId="1" xfId="20" applyNumberFormat="1" applyFont="1" applyBorder="1" applyAlignment="1" applyProtection="1">
      <alignment horizontal="center"/>
      <protection locked="0"/>
    </xf>
    <xf numFmtId="2" fontId="2" fillId="0" borderId="1" xfId="20" applyNumberFormat="1" applyFont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 quotePrefix="1">
      <alignment/>
    </xf>
    <xf numFmtId="164" fontId="1" fillId="0" borderId="1" xfId="0" applyNumberFormat="1" applyFont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166" fontId="1" fillId="0" borderId="1" xfId="0" applyNumberFormat="1" applyFont="1" applyBorder="1" applyAlignment="1">
      <alignment/>
    </xf>
    <xf numFmtId="0" fontId="1" fillId="0" borderId="1" xfId="0" applyFont="1" applyBorder="1" applyAlignment="1">
      <alignment horizontal="left"/>
    </xf>
    <xf numFmtId="164" fontId="1" fillId="0" borderId="1" xfId="0" applyNumberFormat="1" applyFont="1" applyBorder="1" applyAlignment="1">
      <alignment horizontal="center"/>
    </xf>
    <xf numFmtId="165" fontId="1" fillId="0" borderId="1" xfId="0" applyNumberFormat="1" applyFont="1" applyBorder="1" applyAlignment="1">
      <alignment/>
    </xf>
    <xf numFmtId="0" fontId="1" fillId="0" borderId="1" xfId="20" applyFont="1" applyBorder="1" applyAlignment="1" applyProtection="1">
      <alignment horizontal="left"/>
      <protection locked="0"/>
    </xf>
    <xf numFmtId="0" fontId="1" fillId="0" borderId="1" xfId="20" applyFont="1" applyBorder="1" applyAlignment="1" applyProtection="1">
      <alignment horizontal="center"/>
      <protection locked="0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166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164" fontId="1" fillId="0" borderId="1" xfId="20" applyNumberFormat="1" applyFont="1" applyBorder="1" applyAlignment="1" applyProtection="1">
      <alignment horizontal="center"/>
      <protection locked="0"/>
    </xf>
    <xf numFmtId="165" fontId="1" fillId="0" borderId="1" xfId="20" applyNumberFormat="1" applyFont="1" applyBorder="1" applyAlignment="1" applyProtection="1">
      <alignment horizontal="center"/>
      <protection locked="0"/>
    </xf>
    <xf numFmtId="166" fontId="1" fillId="0" borderId="1" xfId="20" applyNumberFormat="1" applyFont="1" applyBorder="1" applyAlignment="1" applyProtection="1">
      <alignment horizontal="center"/>
      <protection locked="0"/>
    </xf>
    <xf numFmtId="0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2" fillId="0" borderId="0" xfId="20" applyNumberFormat="1" applyFont="1" applyAlignment="1">
      <alignment horizontal="center"/>
      <protection/>
    </xf>
    <xf numFmtId="0" fontId="2" fillId="0" borderId="0" xfId="20" applyNumberFormat="1" applyFont="1" applyBorder="1" applyAlignment="1">
      <alignment horizontal="center"/>
      <protection/>
    </xf>
    <xf numFmtId="0" fontId="1" fillId="0" borderId="0" xfId="20" applyNumberFormat="1" applyFont="1" applyAlignment="1" applyProtection="1">
      <alignment horizontal="center"/>
      <protection locked="0"/>
    </xf>
    <xf numFmtId="174" fontId="1" fillId="0" borderId="0" xfId="20" applyNumberFormat="1" applyFont="1" applyAlignment="1" applyProtection="1">
      <alignment horizontal="center"/>
      <protection locked="0"/>
    </xf>
    <xf numFmtId="0" fontId="1" fillId="0" borderId="0" xfId="0" applyNumberFormat="1" applyFont="1" applyAlignment="1">
      <alignment/>
    </xf>
    <xf numFmtId="0" fontId="14" fillId="0" borderId="0" xfId="0" applyFont="1" applyAlignment="1">
      <alignment horizontal="center"/>
    </xf>
    <xf numFmtId="0" fontId="15" fillId="0" borderId="0" xfId="20" applyFont="1" applyAlignment="1" applyProtection="1">
      <alignment horizontal="center"/>
      <protection locked="0"/>
    </xf>
    <xf numFmtId="0" fontId="16" fillId="0" borderId="0" xfId="20" applyFont="1" applyAlignment="1" applyProtection="1">
      <alignment horizontal="center"/>
      <protection locked="0"/>
    </xf>
    <xf numFmtId="0" fontId="14" fillId="0" borderId="0" xfId="20" applyFont="1" applyAlignment="1">
      <alignment horizontal="center"/>
      <protection/>
    </xf>
    <xf numFmtId="0" fontId="17" fillId="0" borderId="0" xfId="20" applyFont="1" applyAlignment="1" applyProtection="1">
      <alignment horizontal="center"/>
      <protection locked="0"/>
    </xf>
    <xf numFmtId="2" fontId="1" fillId="0" borderId="0" xfId="20" applyNumberFormat="1" applyFont="1" applyBorder="1" applyAlignment="1" applyProtection="1">
      <alignment horizontal="center"/>
      <protection locked="0"/>
    </xf>
    <xf numFmtId="0" fontId="17" fillId="0" borderId="0" xfId="0" applyFont="1" applyAlignment="1">
      <alignment horizontal="center"/>
    </xf>
    <xf numFmtId="1" fontId="17" fillId="0" borderId="0" xfId="20" applyNumberFormat="1" applyFont="1" applyAlignment="1" applyProtection="1">
      <alignment horizontal="center"/>
      <protection locked="0"/>
    </xf>
    <xf numFmtId="1" fontId="1" fillId="0" borderId="0" xfId="20" applyNumberFormat="1" applyFont="1" applyAlignment="1" applyProtection="1">
      <alignment horizontal="center"/>
      <protection locked="0"/>
    </xf>
    <xf numFmtId="1" fontId="1" fillId="0" borderId="0" xfId="20" applyNumberFormat="1" applyFont="1" applyAlignment="1">
      <alignment horizontal="center"/>
      <protection/>
    </xf>
    <xf numFmtId="1" fontId="1" fillId="0" borderId="0" xfId="20" applyNumberFormat="1" applyFont="1" applyBorder="1" applyAlignment="1" applyProtection="1">
      <alignment horizontal="center"/>
      <protection locked="0"/>
    </xf>
    <xf numFmtId="165" fontId="1" fillId="0" borderId="0" xfId="20" applyNumberFormat="1" applyFont="1" applyBorder="1" applyAlignment="1" applyProtection="1">
      <alignment horizontal="center"/>
      <protection locked="0"/>
    </xf>
    <xf numFmtId="0" fontId="17" fillId="0" borderId="0" xfId="0" applyFont="1" applyAlignment="1">
      <alignment horizontal="center"/>
    </xf>
    <xf numFmtId="0" fontId="14" fillId="0" borderId="0" xfId="20" applyFont="1" applyAlignment="1" applyProtection="1">
      <alignment horizontal="center"/>
      <protection locked="0"/>
    </xf>
    <xf numFmtId="2" fontId="17" fillId="0" borderId="0" xfId="20" applyNumberFormat="1" applyFont="1" applyAlignment="1" applyProtection="1">
      <alignment horizontal="center"/>
      <protection locked="0"/>
    </xf>
    <xf numFmtId="0" fontId="14" fillId="0" borderId="0" xfId="0" applyFont="1" applyAlignment="1">
      <alignment horizontal="center"/>
    </xf>
    <xf numFmtId="0" fontId="17" fillId="0" borderId="0" xfId="20" applyFont="1" applyAlignment="1">
      <alignment horizontal="center"/>
      <protection/>
    </xf>
    <xf numFmtId="165" fontId="1" fillId="0" borderId="0" xfId="20" applyNumberFormat="1" applyFont="1" applyBorder="1" applyAlignment="1">
      <alignment horizontal="center"/>
      <protection/>
    </xf>
    <xf numFmtId="14" fontId="10" fillId="0" borderId="0" xfId="20" applyNumberFormat="1" applyFont="1" applyAlignment="1" applyProtection="1">
      <alignment horizontal="right"/>
      <protection locked="0"/>
    </xf>
    <xf numFmtId="0" fontId="0" fillId="0" borderId="0" xfId="0" applyFont="1" applyAlignment="1">
      <alignment horizontal="left"/>
    </xf>
    <xf numFmtId="14" fontId="0" fillId="0" borderId="0" xfId="20" applyNumberFormat="1" applyFont="1" applyAlignment="1" applyProtection="1">
      <alignment horizontal="center"/>
      <protection locked="0"/>
    </xf>
    <xf numFmtId="0" fontId="2" fillId="0" borderId="0" xfId="20" applyFont="1" applyAlignment="1" applyProtection="1">
      <alignment horizontal="center" wrapText="1"/>
      <protection locked="0"/>
    </xf>
    <xf numFmtId="0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Standaard_Blad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95"/>
  <sheetViews>
    <sheetView workbookViewId="0" topLeftCell="A1">
      <pane xSplit="6" ySplit="2" topLeftCell="G42" activePane="bottomRight" state="frozen"/>
      <selection pane="topLeft" activeCell="A1" sqref="A1"/>
      <selection pane="topRight" activeCell="J1" sqref="J1"/>
      <selection pane="bottomLeft" activeCell="A3" sqref="A3"/>
      <selection pane="bottomRight" activeCell="N71" sqref="N71"/>
    </sheetView>
  </sheetViews>
  <sheetFormatPr defaultColWidth="9.140625" defaultRowHeight="12.75"/>
  <cols>
    <col min="1" max="1" width="7.57421875" style="1" customWidth="1"/>
    <col min="2" max="2" width="20.28125" style="33" customWidth="1"/>
    <col min="3" max="3" width="3.57421875" style="1" customWidth="1"/>
    <col min="4" max="4" width="4.57421875" style="1" customWidth="1"/>
    <col min="5" max="5" width="6.421875" style="1" customWidth="1"/>
    <col min="6" max="6" width="4.140625" style="1" customWidth="1"/>
    <col min="7" max="7" width="6.7109375" style="1" customWidth="1"/>
    <col min="8" max="8" width="6.7109375" style="49" customWidth="1"/>
    <col min="9" max="9" width="7.28125" style="18" customWidth="1"/>
    <col min="10" max="10" width="6.7109375" style="37" customWidth="1"/>
    <col min="11" max="11" width="7.28125" style="37" customWidth="1"/>
    <col min="12" max="12" width="9.140625" style="37" customWidth="1"/>
    <col min="13" max="13" width="8.421875" style="35" customWidth="1"/>
    <col min="14" max="15" width="9.140625" style="11" customWidth="1"/>
    <col min="17" max="17" width="9.140625" style="11" customWidth="1"/>
    <col min="26" max="16384" width="9.140625" style="11" customWidth="1"/>
  </cols>
  <sheetData>
    <row r="1" spans="1:38" ht="12.75" customHeight="1">
      <c r="A1" s="153"/>
      <c r="B1" s="154" t="s">
        <v>0</v>
      </c>
      <c r="C1" s="155" t="s">
        <v>1</v>
      </c>
      <c r="D1" s="153"/>
      <c r="E1" s="155" t="s">
        <v>2</v>
      </c>
      <c r="F1" s="155" t="s">
        <v>3</v>
      </c>
      <c r="G1" s="156">
        <v>100</v>
      </c>
      <c r="H1" s="156">
        <v>300</v>
      </c>
      <c r="I1" s="156">
        <v>500</v>
      </c>
      <c r="J1" s="156">
        <v>1000</v>
      </c>
      <c r="K1" s="156">
        <v>1500</v>
      </c>
      <c r="L1" s="156">
        <v>3000</v>
      </c>
      <c r="M1" s="156">
        <v>5000</v>
      </c>
      <c r="N1" s="156">
        <v>10000</v>
      </c>
      <c r="O1" s="4"/>
      <c r="Q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</row>
    <row r="2" spans="1:38" ht="12.75">
      <c r="A2" s="153"/>
      <c r="B2" s="154"/>
      <c r="C2" s="155"/>
      <c r="D2" s="153"/>
      <c r="E2" s="155"/>
      <c r="F2" s="155"/>
      <c r="G2" s="157" t="s">
        <v>6</v>
      </c>
      <c r="H2" s="157" t="s">
        <v>6</v>
      </c>
      <c r="I2" s="157" t="s">
        <v>6</v>
      </c>
      <c r="J2" s="157" t="s">
        <v>6</v>
      </c>
      <c r="K2" s="157" t="s">
        <v>6</v>
      </c>
      <c r="L2" s="157" t="s">
        <v>6</v>
      </c>
      <c r="M2" s="157" t="s">
        <v>6</v>
      </c>
      <c r="N2" s="157" t="s">
        <v>6</v>
      </c>
      <c r="O2" s="7"/>
      <c r="Q2" s="5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</row>
    <row r="3" spans="1:15" ht="12.75">
      <c r="A3" s="158">
        <v>35602</v>
      </c>
      <c r="B3" s="159" t="s">
        <v>107</v>
      </c>
      <c r="C3" s="158" t="s">
        <v>96</v>
      </c>
      <c r="D3" s="158" t="s">
        <v>41</v>
      </c>
      <c r="E3" s="158" t="s">
        <v>97</v>
      </c>
      <c r="F3" s="158">
        <v>1</v>
      </c>
      <c r="G3" s="160">
        <v>0.00014733796296296297</v>
      </c>
      <c r="H3" s="160">
        <v>0.0003489583333333333</v>
      </c>
      <c r="I3" s="160">
        <v>0.0005561342592592593</v>
      </c>
      <c r="J3" s="161">
        <v>0.0011313657407407407</v>
      </c>
      <c r="K3" s="162"/>
      <c r="L3" s="162"/>
      <c r="M3" s="163"/>
      <c r="N3" s="163"/>
      <c r="O3" s="36"/>
    </row>
    <row r="4" spans="1:15" ht="12.75">
      <c r="A4" s="158">
        <v>35575</v>
      </c>
      <c r="B4" s="164" t="s">
        <v>113</v>
      </c>
      <c r="C4" s="158" t="s">
        <v>100</v>
      </c>
      <c r="D4" s="158" t="s">
        <v>41</v>
      </c>
      <c r="E4" s="158" t="s">
        <v>114</v>
      </c>
      <c r="F4" s="158">
        <v>1</v>
      </c>
      <c r="G4" s="160">
        <v>0.0001488425925925926</v>
      </c>
      <c r="H4" s="160">
        <v>0.0003634259259259259</v>
      </c>
      <c r="I4" s="160">
        <v>0.0005648148148148148</v>
      </c>
      <c r="J4" s="161">
        <v>0.0012020833333333332</v>
      </c>
      <c r="K4" s="162"/>
      <c r="L4" s="162"/>
      <c r="M4" s="163"/>
      <c r="N4" s="163"/>
      <c r="O4" s="36"/>
    </row>
    <row r="5" spans="1:15" ht="12.75">
      <c r="A5" s="158">
        <v>35580</v>
      </c>
      <c r="B5" s="164" t="s">
        <v>115</v>
      </c>
      <c r="C5" s="158" t="s">
        <v>96</v>
      </c>
      <c r="D5" s="158" t="s">
        <v>41</v>
      </c>
      <c r="E5" s="158" t="s">
        <v>114</v>
      </c>
      <c r="F5" s="158">
        <v>1</v>
      </c>
      <c r="G5" s="160">
        <v>0.00014814814814814815</v>
      </c>
      <c r="H5" s="160">
        <v>0.00037094907407407405</v>
      </c>
      <c r="I5" s="160">
        <v>0.0005679398148148148</v>
      </c>
      <c r="J5" s="161">
        <v>0.001195949074074074</v>
      </c>
      <c r="K5" s="162"/>
      <c r="L5" s="162"/>
      <c r="M5" s="163"/>
      <c r="N5" s="163"/>
      <c r="O5" s="36"/>
    </row>
    <row r="6" spans="1:15" ht="12.75">
      <c r="A6" s="158">
        <v>35593</v>
      </c>
      <c r="B6" s="159" t="s">
        <v>118</v>
      </c>
      <c r="C6" s="158" t="s">
        <v>96</v>
      </c>
      <c r="D6" s="158" t="s">
        <v>41</v>
      </c>
      <c r="E6" s="158" t="s">
        <v>97</v>
      </c>
      <c r="F6" s="158">
        <v>1</v>
      </c>
      <c r="G6" s="160">
        <v>0.00015127314814814815</v>
      </c>
      <c r="H6" s="160">
        <v>0.00037002314814814813</v>
      </c>
      <c r="I6" s="160">
        <v>0.0005827546296296297</v>
      </c>
      <c r="J6" s="161">
        <v>0.0012296296296296296</v>
      </c>
      <c r="K6" s="162"/>
      <c r="L6" s="162"/>
      <c r="M6" s="163"/>
      <c r="N6" s="163"/>
      <c r="O6" s="36"/>
    </row>
    <row r="7" spans="1:15" ht="12.75">
      <c r="A7" s="158">
        <v>35604</v>
      </c>
      <c r="B7" s="159" t="s">
        <v>122</v>
      </c>
      <c r="C7" s="158" t="s">
        <v>100</v>
      </c>
      <c r="D7" s="158" t="s">
        <v>41</v>
      </c>
      <c r="E7" s="158" t="s">
        <v>97</v>
      </c>
      <c r="F7" s="158">
        <v>1</v>
      </c>
      <c r="G7" s="160">
        <v>0.000146875</v>
      </c>
      <c r="H7" s="160">
        <v>0.0003695601851851852</v>
      </c>
      <c r="I7" s="160">
        <v>0.0005905092592592593</v>
      </c>
      <c r="J7" s="161">
        <v>0.0012327546296296297</v>
      </c>
      <c r="K7" s="162"/>
      <c r="L7" s="162"/>
      <c r="M7" s="163"/>
      <c r="N7" s="163"/>
      <c r="O7" s="36"/>
    </row>
    <row r="8" spans="1:15" ht="12.75">
      <c r="A8" s="158">
        <v>35616</v>
      </c>
      <c r="B8" s="164" t="s">
        <v>124</v>
      </c>
      <c r="C8" s="158" t="s">
        <v>96</v>
      </c>
      <c r="D8" s="158" t="s">
        <v>41</v>
      </c>
      <c r="E8" s="158" t="s">
        <v>97</v>
      </c>
      <c r="F8" s="158">
        <v>1</v>
      </c>
      <c r="G8" s="165">
        <v>0.00015543981481481482</v>
      </c>
      <c r="H8" s="165">
        <v>0.0004333333333333333</v>
      </c>
      <c r="I8" s="165">
        <v>0.0006114583333333333</v>
      </c>
      <c r="J8" s="162">
        <v>0.0012417824074074074</v>
      </c>
      <c r="K8" s="162"/>
      <c r="L8" s="162"/>
      <c r="M8" s="166"/>
      <c r="N8" s="166"/>
      <c r="O8" s="35"/>
    </row>
    <row r="9" spans="1:15" ht="12.75">
      <c r="A9" s="158">
        <v>35615</v>
      </c>
      <c r="B9" s="164" t="s">
        <v>137</v>
      </c>
      <c r="C9" s="158" t="s">
        <v>169</v>
      </c>
      <c r="D9" s="158" t="s">
        <v>41</v>
      </c>
      <c r="E9" s="158" t="s">
        <v>97</v>
      </c>
      <c r="F9" s="158">
        <v>1</v>
      </c>
      <c r="G9" s="165">
        <v>0.00015081018518518517</v>
      </c>
      <c r="H9" s="165">
        <v>0.00038854166666666665</v>
      </c>
      <c r="I9" s="165">
        <v>0.0006203703703703704</v>
      </c>
      <c r="J9" s="162">
        <v>0.0013342592592592592</v>
      </c>
      <c r="K9" s="162"/>
      <c r="L9" s="162"/>
      <c r="M9" s="166"/>
      <c r="N9" s="166"/>
      <c r="O9" s="35"/>
    </row>
    <row r="10" spans="1:15" ht="12.75">
      <c r="A10" s="158">
        <v>35631</v>
      </c>
      <c r="B10" s="164" t="s">
        <v>145</v>
      </c>
      <c r="C10" s="158" t="s">
        <v>96</v>
      </c>
      <c r="D10" s="158" t="s">
        <v>41</v>
      </c>
      <c r="E10" s="158" t="s">
        <v>97</v>
      </c>
      <c r="F10" s="158">
        <v>2</v>
      </c>
      <c r="G10" s="165">
        <v>0.0001625</v>
      </c>
      <c r="H10" s="165">
        <v>0.0004293981481481482</v>
      </c>
      <c r="I10" s="165">
        <v>0.0006454861111111112</v>
      </c>
      <c r="J10" s="162">
        <v>0.0013763888888888888</v>
      </c>
      <c r="K10" s="162"/>
      <c r="L10" s="162"/>
      <c r="M10" s="166"/>
      <c r="N10" s="166"/>
      <c r="O10" s="35"/>
    </row>
    <row r="11" spans="1:15" ht="12.75">
      <c r="A11" s="158">
        <v>35585</v>
      </c>
      <c r="B11" s="159" t="s">
        <v>142</v>
      </c>
      <c r="C11" s="158" t="s">
        <v>100</v>
      </c>
      <c r="D11" s="158" t="s">
        <v>41</v>
      </c>
      <c r="E11" s="158" t="s">
        <v>97</v>
      </c>
      <c r="F11" s="158">
        <v>2</v>
      </c>
      <c r="G11" s="160">
        <v>0.00016041666666666664</v>
      </c>
      <c r="H11" s="160">
        <v>0.0004043981481481481</v>
      </c>
      <c r="I11" s="160">
        <v>0.0006516203703703702</v>
      </c>
      <c r="J11" s="161">
        <v>0.0013586805555555557</v>
      </c>
      <c r="K11" s="162"/>
      <c r="L11" s="162"/>
      <c r="M11" s="163"/>
      <c r="N11" s="163"/>
      <c r="O11" s="36"/>
    </row>
    <row r="12" spans="1:15" ht="12.75">
      <c r="A12" s="158">
        <v>35620</v>
      </c>
      <c r="B12" s="164" t="s">
        <v>144</v>
      </c>
      <c r="C12" s="158" t="s">
        <v>96</v>
      </c>
      <c r="D12" s="158" t="s">
        <v>41</v>
      </c>
      <c r="E12" s="158" t="s">
        <v>97</v>
      </c>
      <c r="F12" s="158">
        <v>2</v>
      </c>
      <c r="G12" s="165">
        <v>0.00015821759259259258</v>
      </c>
      <c r="H12" s="165">
        <v>0.00040451388888888893</v>
      </c>
      <c r="I12" s="165">
        <v>0.0006527777777777777</v>
      </c>
      <c r="J12" s="162">
        <v>0.0013613425925925926</v>
      </c>
      <c r="K12" s="162"/>
      <c r="L12" s="162"/>
      <c r="M12" s="166"/>
      <c r="N12" s="166"/>
      <c r="O12" s="35"/>
    </row>
    <row r="13" spans="1:15" ht="12.75">
      <c r="A13" s="158">
        <v>35609</v>
      </c>
      <c r="B13" s="164" t="s">
        <v>95</v>
      </c>
      <c r="C13" s="158" t="s">
        <v>100</v>
      </c>
      <c r="D13" s="158" t="s">
        <v>41</v>
      </c>
      <c r="E13" s="158" t="s">
        <v>97</v>
      </c>
      <c r="F13" s="158">
        <v>3</v>
      </c>
      <c r="G13" s="165">
        <v>0.00016759259259259258</v>
      </c>
      <c r="H13" s="165">
        <v>0.00044502314814814817</v>
      </c>
      <c r="I13" s="165">
        <v>0.0006702546296296296</v>
      </c>
      <c r="J13" s="162">
        <v>0.0014630787037037036</v>
      </c>
      <c r="K13" s="162"/>
      <c r="L13" s="162"/>
      <c r="M13" s="166"/>
      <c r="N13" s="166"/>
      <c r="O13" s="35"/>
    </row>
    <row r="14" spans="1:15" ht="12.75">
      <c r="A14" s="158">
        <v>35618</v>
      </c>
      <c r="B14" s="164" t="s">
        <v>99</v>
      </c>
      <c r="C14" s="158" t="s">
        <v>169</v>
      </c>
      <c r="D14" s="158" t="s">
        <v>41</v>
      </c>
      <c r="E14" s="158" t="s">
        <v>97</v>
      </c>
      <c r="F14" s="158">
        <v>3</v>
      </c>
      <c r="G14" s="165">
        <v>0.0001615740740740741</v>
      </c>
      <c r="H14" s="165">
        <v>0.0004116898148148148</v>
      </c>
      <c r="I14" s="165">
        <v>0.0006777777777777779</v>
      </c>
      <c r="J14" s="162">
        <v>0.0014738425925925926</v>
      </c>
      <c r="K14" s="162"/>
      <c r="L14" s="162"/>
      <c r="M14" s="166"/>
      <c r="N14" s="166"/>
      <c r="O14" s="35"/>
    </row>
    <row r="15" spans="1:15" ht="12.75">
      <c r="A15" s="158">
        <v>35594</v>
      </c>
      <c r="B15" s="159" t="s">
        <v>151</v>
      </c>
      <c r="C15" s="158" t="s">
        <v>96</v>
      </c>
      <c r="D15" s="158" t="s">
        <v>41</v>
      </c>
      <c r="E15" s="158" t="s">
        <v>97</v>
      </c>
      <c r="F15" s="158">
        <v>3</v>
      </c>
      <c r="G15" s="160">
        <v>0.00016527777777777775</v>
      </c>
      <c r="H15" s="160">
        <v>0.00043773148148148143</v>
      </c>
      <c r="I15" s="160">
        <v>0.0006840277777777778</v>
      </c>
      <c r="J15" s="161">
        <v>0.0014550925925925927</v>
      </c>
      <c r="K15" s="162"/>
      <c r="L15" s="162"/>
      <c r="M15" s="163"/>
      <c r="N15" s="163"/>
      <c r="O15" s="36"/>
    </row>
    <row r="16" spans="1:15" ht="12.75">
      <c r="A16" s="158">
        <v>35626</v>
      </c>
      <c r="B16" s="164" t="s">
        <v>132</v>
      </c>
      <c r="C16" s="158" t="s">
        <v>100</v>
      </c>
      <c r="D16" s="158" t="s">
        <v>41</v>
      </c>
      <c r="E16" s="158" t="s">
        <v>97</v>
      </c>
      <c r="F16" s="158">
        <v>3</v>
      </c>
      <c r="G16" s="165">
        <v>0.00017372685185185186</v>
      </c>
      <c r="H16" s="165">
        <v>0.0004494212962962963</v>
      </c>
      <c r="I16" s="162">
        <v>0.0007092592592592593</v>
      </c>
      <c r="J16" s="162">
        <v>0.0015471064814814816</v>
      </c>
      <c r="K16" s="162"/>
      <c r="L16" s="162"/>
      <c r="M16" s="166"/>
      <c r="N16" s="166"/>
      <c r="O16" s="35"/>
    </row>
    <row r="17" spans="1:15" ht="12.75">
      <c r="A17" s="158">
        <v>35613</v>
      </c>
      <c r="B17" s="164" t="s">
        <v>130</v>
      </c>
      <c r="C17" s="158" t="s">
        <v>169</v>
      </c>
      <c r="D17" s="158" t="s">
        <v>41</v>
      </c>
      <c r="E17" s="158" t="s">
        <v>97</v>
      </c>
      <c r="F17" s="158">
        <v>3</v>
      </c>
      <c r="G17" s="165">
        <v>0.0001619212962962963</v>
      </c>
      <c r="H17" s="165">
        <v>0.0004251157407407407</v>
      </c>
      <c r="I17" s="162">
        <v>0.0007098379629629629</v>
      </c>
      <c r="J17" s="162">
        <v>0.0015422453703703703</v>
      </c>
      <c r="K17" s="162"/>
      <c r="L17" s="162"/>
      <c r="M17" s="166"/>
      <c r="N17" s="166"/>
      <c r="O17" s="35"/>
    </row>
    <row r="18" spans="1:15" ht="12.75">
      <c r="A18" s="158">
        <v>35621</v>
      </c>
      <c r="B18" s="164" t="s">
        <v>161</v>
      </c>
      <c r="C18" s="158" t="s">
        <v>100</v>
      </c>
      <c r="D18" s="158" t="s">
        <v>41</v>
      </c>
      <c r="E18" s="158" t="s">
        <v>97</v>
      </c>
      <c r="F18" s="158">
        <v>4</v>
      </c>
      <c r="G18" s="165">
        <v>0.00017719907407407406</v>
      </c>
      <c r="H18" s="165">
        <v>0.00045474537037037033</v>
      </c>
      <c r="I18" s="162">
        <v>0.0007737268518518519</v>
      </c>
      <c r="J18" s="162"/>
      <c r="K18" s="162"/>
      <c r="L18" s="162"/>
      <c r="M18" s="166"/>
      <c r="N18" s="166"/>
      <c r="O18" s="35"/>
    </row>
    <row r="19" spans="1:14" ht="12.75">
      <c r="A19" s="158"/>
      <c r="B19" s="167" t="s">
        <v>168</v>
      </c>
      <c r="C19" s="168" t="s">
        <v>174</v>
      </c>
      <c r="D19" s="168" t="s">
        <v>41</v>
      </c>
      <c r="E19" s="168" t="s">
        <v>114</v>
      </c>
      <c r="F19" s="168" t="s">
        <v>163</v>
      </c>
      <c r="G19" s="165">
        <v>0.00017800925925925927</v>
      </c>
      <c r="H19" s="165">
        <v>0.0004966435185185185</v>
      </c>
      <c r="I19" s="162"/>
      <c r="J19" s="162"/>
      <c r="K19" s="162"/>
      <c r="L19" s="162"/>
      <c r="M19" s="166"/>
      <c r="N19" s="169"/>
    </row>
    <row r="20" spans="1:14" ht="12.75">
      <c r="A20" s="158"/>
      <c r="B20" s="167" t="s">
        <v>170</v>
      </c>
      <c r="C20" s="168" t="s">
        <v>174</v>
      </c>
      <c r="D20" s="168" t="s">
        <v>41</v>
      </c>
      <c r="E20" s="168" t="s">
        <v>114</v>
      </c>
      <c r="F20" s="168" t="s">
        <v>163</v>
      </c>
      <c r="G20" s="165">
        <v>0.0001890046296296296</v>
      </c>
      <c r="H20" s="165">
        <v>0.0005127314814814814</v>
      </c>
      <c r="I20" s="162"/>
      <c r="J20" s="162"/>
      <c r="K20" s="162"/>
      <c r="L20" s="162"/>
      <c r="M20" s="166"/>
      <c r="N20" s="169"/>
    </row>
    <row r="21" spans="1:15" s="14" customFormat="1" ht="11.25">
      <c r="A21" s="170">
        <v>35552</v>
      </c>
      <c r="B21" s="167" t="s">
        <v>101</v>
      </c>
      <c r="C21" s="170" t="s">
        <v>96</v>
      </c>
      <c r="D21" s="170" t="s">
        <v>8</v>
      </c>
      <c r="E21" s="170" t="s">
        <v>114</v>
      </c>
      <c r="F21" s="170">
        <v>1</v>
      </c>
      <c r="G21" s="160">
        <v>0.00013113425925925925</v>
      </c>
      <c r="H21" s="160">
        <v>0.00032233796296296296</v>
      </c>
      <c r="I21" s="160">
        <v>0.0004958333333333334</v>
      </c>
      <c r="J21" s="161">
        <v>0.0010202546296296296</v>
      </c>
      <c r="K21" s="161"/>
      <c r="L21" s="161"/>
      <c r="M21" s="171"/>
      <c r="N21" s="171"/>
      <c r="O21" s="41"/>
    </row>
    <row r="22" spans="1:15" ht="12.75">
      <c r="A22" s="158">
        <v>35597</v>
      </c>
      <c r="B22" s="172" t="s">
        <v>106</v>
      </c>
      <c r="C22" s="158" t="s">
        <v>96</v>
      </c>
      <c r="D22" s="158" t="s">
        <v>8</v>
      </c>
      <c r="E22" s="158" t="s">
        <v>97</v>
      </c>
      <c r="F22" s="158">
        <v>1</v>
      </c>
      <c r="G22" s="160">
        <v>0.0001398148148148148</v>
      </c>
      <c r="H22" s="160">
        <v>0.0003465277777777778</v>
      </c>
      <c r="I22" s="160">
        <v>0.0005526620370370369</v>
      </c>
      <c r="J22" s="161">
        <v>0.0011103009259259258</v>
      </c>
      <c r="K22" s="162"/>
      <c r="L22" s="162"/>
      <c r="M22" s="163"/>
      <c r="N22" s="163"/>
      <c r="O22" s="36"/>
    </row>
    <row r="23" spans="1:15" ht="12.75">
      <c r="A23" s="158">
        <v>35540</v>
      </c>
      <c r="B23" s="164" t="s">
        <v>127</v>
      </c>
      <c r="C23" s="158" t="s">
        <v>100</v>
      </c>
      <c r="D23" s="158" t="s">
        <v>8</v>
      </c>
      <c r="E23" s="158" t="s">
        <v>114</v>
      </c>
      <c r="F23" s="158">
        <v>1</v>
      </c>
      <c r="G23" s="160">
        <v>0.00015578703703703704</v>
      </c>
      <c r="H23" s="160">
        <v>0.0003791666666666666</v>
      </c>
      <c r="I23" s="160">
        <v>0.0005966435185185185</v>
      </c>
      <c r="J23" s="161"/>
      <c r="K23" s="162"/>
      <c r="L23" s="162"/>
      <c r="M23" s="163"/>
      <c r="N23" s="163"/>
      <c r="O23" s="36"/>
    </row>
    <row r="24" spans="1:15" ht="12.75">
      <c r="A24" s="158">
        <v>35625</v>
      </c>
      <c r="B24" s="164" t="s">
        <v>125</v>
      </c>
      <c r="C24" s="158" t="s">
        <v>100</v>
      </c>
      <c r="D24" s="158" t="s">
        <v>8</v>
      </c>
      <c r="E24" s="158" t="s">
        <v>97</v>
      </c>
      <c r="F24" s="158">
        <v>2</v>
      </c>
      <c r="G24" s="165">
        <v>0.00015046296296296297</v>
      </c>
      <c r="H24" s="165">
        <v>0.0003862268518518518</v>
      </c>
      <c r="I24" s="165">
        <v>0.0006091435185185185</v>
      </c>
      <c r="J24" s="162">
        <v>0.001252199074074074</v>
      </c>
      <c r="K24" s="162"/>
      <c r="L24" s="162"/>
      <c r="M24" s="166"/>
      <c r="N24" s="166"/>
      <c r="O24" s="35"/>
    </row>
    <row r="25" spans="1:15" ht="12.75">
      <c r="A25" s="158">
        <v>35633</v>
      </c>
      <c r="B25" s="172" t="s">
        <v>135</v>
      </c>
      <c r="C25" s="158" t="s">
        <v>96</v>
      </c>
      <c r="D25" s="158" t="s">
        <v>8</v>
      </c>
      <c r="E25" s="158" t="s">
        <v>97</v>
      </c>
      <c r="F25" s="158">
        <v>2</v>
      </c>
      <c r="G25" s="160">
        <v>0.00016331018518518517</v>
      </c>
      <c r="H25" s="160">
        <v>0.0003986111111111111</v>
      </c>
      <c r="I25" s="160">
        <v>0.0006383101851851852</v>
      </c>
      <c r="J25" s="161">
        <v>0.001274074074074074</v>
      </c>
      <c r="K25" s="162"/>
      <c r="L25" s="162"/>
      <c r="M25" s="163"/>
      <c r="N25" s="163"/>
      <c r="O25" s="36"/>
    </row>
    <row r="26" spans="1:15" ht="12.75">
      <c r="A26" s="158">
        <v>35624</v>
      </c>
      <c r="B26" s="164" t="s">
        <v>143</v>
      </c>
      <c r="C26" s="158" t="s">
        <v>100</v>
      </c>
      <c r="D26" s="158" t="s">
        <v>8</v>
      </c>
      <c r="E26" s="158" t="s">
        <v>97</v>
      </c>
      <c r="F26" s="158">
        <v>2</v>
      </c>
      <c r="G26" s="165">
        <v>0.00015706018518518518</v>
      </c>
      <c r="H26" s="165">
        <v>0.0004144675925925926</v>
      </c>
      <c r="I26" s="165">
        <v>0.0006388888888888889</v>
      </c>
      <c r="J26" s="162">
        <v>0.0013887731481481483</v>
      </c>
      <c r="K26" s="162"/>
      <c r="L26" s="162"/>
      <c r="M26" s="166"/>
      <c r="N26" s="166"/>
      <c r="O26" s="35"/>
    </row>
    <row r="27" spans="1:15" ht="12.75">
      <c r="A27" s="158">
        <v>35587</v>
      </c>
      <c r="B27" s="159" t="s">
        <v>148</v>
      </c>
      <c r="C27" s="158" t="s">
        <v>96</v>
      </c>
      <c r="D27" s="158" t="s">
        <v>8</v>
      </c>
      <c r="E27" s="158" t="s">
        <v>97</v>
      </c>
      <c r="F27" s="158">
        <v>3</v>
      </c>
      <c r="G27" s="160">
        <v>0.0001579861111111111</v>
      </c>
      <c r="H27" s="160">
        <v>0.0004070601851851852</v>
      </c>
      <c r="I27" s="160">
        <v>0.0006503472222222222</v>
      </c>
      <c r="J27" s="161">
        <v>0.0014091435185185186</v>
      </c>
      <c r="K27" s="162"/>
      <c r="L27" s="162"/>
      <c r="M27" s="163"/>
      <c r="N27" s="163"/>
      <c r="O27" s="36"/>
    </row>
    <row r="28" spans="1:15" ht="12.75">
      <c r="A28" s="158">
        <v>35627</v>
      </c>
      <c r="B28" s="164" t="s">
        <v>98</v>
      </c>
      <c r="C28" s="158" t="s">
        <v>100</v>
      </c>
      <c r="D28" s="158" t="s">
        <v>8</v>
      </c>
      <c r="E28" s="158" t="s">
        <v>97</v>
      </c>
      <c r="F28" s="158">
        <v>3</v>
      </c>
      <c r="G28" s="165">
        <v>0.00014467592592592594</v>
      </c>
      <c r="H28" s="165">
        <v>0.0004006944444444444</v>
      </c>
      <c r="I28" s="165">
        <v>0.0006648148148148147</v>
      </c>
      <c r="J28" s="162">
        <v>0.001483101851851852</v>
      </c>
      <c r="K28" s="162"/>
      <c r="L28" s="162"/>
      <c r="M28" s="166"/>
      <c r="N28" s="166"/>
      <c r="O28" s="35"/>
    </row>
    <row r="29" spans="1:15" ht="12.75">
      <c r="A29" s="158">
        <v>35622</v>
      </c>
      <c r="B29" s="164" t="s">
        <v>126</v>
      </c>
      <c r="C29" s="158" t="s">
        <v>96</v>
      </c>
      <c r="D29" s="158" t="s">
        <v>8</v>
      </c>
      <c r="E29" s="158" t="s">
        <v>97</v>
      </c>
      <c r="F29" s="158">
        <v>4</v>
      </c>
      <c r="G29" s="165">
        <v>0.00016064814814814815</v>
      </c>
      <c r="H29" s="165">
        <v>0.0004313657407407408</v>
      </c>
      <c r="I29" s="162">
        <v>0.0007086805555555556</v>
      </c>
      <c r="J29" s="162">
        <v>0.0015177083333333336</v>
      </c>
      <c r="K29" s="162"/>
      <c r="L29" s="162"/>
      <c r="M29" s="166"/>
      <c r="N29" s="166"/>
      <c r="O29" s="35"/>
    </row>
    <row r="30" spans="1:14" ht="12.75">
      <c r="A30" s="158"/>
      <c r="B30" s="167" t="s">
        <v>171</v>
      </c>
      <c r="C30" s="168" t="s">
        <v>174</v>
      </c>
      <c r="D30" s="168" t="s">
        <v>8</v>
      </c>
      <c r="E30" s="168" t="s">
        <v>114</v>
      </c>
      <c r="F30" s="168" t="s">
        <v>163</v>
      </c>
      <c r="G30" s="165">
        <v>0.00017881944444444445</v>
      </c>
      <c r="H30" s="165">
        <v>0.0005104166666666667</v>
      </c>
      <c r="I30" s="162"/>
      <c r="J30" s="162"/>
      <c r="K30" s="162"/>
      <c r="L30" s="162"/>
      <c r="M30" s="166"/>
      <c r="N30" s="169"/>
    </row>
    <row r="31" spans="1:14" ht="12.75">
      <c r="A31" s="158"/>
      <c r="B31" s="167" t="s">
        <v>172</v>
      </c>
      <c r="C31" s="168" t="s">
        <v>174</v>
      </c>
      <c r="D31" s="168" t="s">
        <v>8</v>
      </c>
      <c r="E31" s="168" t="s">
        <v>114</v>
      </c>
      <c r="F31" s="168" t="s">
        <v>163</v>
      </c>
      <c r="G31" s="165">
        <v>0.00021296296296296295</v>
      </c>
      <c r="H31" s="165">
        <v>0.0005872685185185185</v>
      </c>
      <c r="I31" s="162"/>
      <c r="J31" s="162"/>
      <c r="K31" s="162"/>
      <c r="L31" s="162"/>
      <c r="M31" s="166"/>
      <c r="N31" s="169"/>
    </row>
    <row r="32" spans="1:14" ht="12.75">
      <c r="A32" s="158"/>
      <c r="B32" s="167" t="s">
        <v>162</v>
      </c>
      <c r="C32" s="168" t="s">
        <v>169</v>
      </c>
      <c r="D32" s="168" t="s">
        <v>8</v>
      </c>
      <c r="E32" s="168" t="s">
        <v>114</v>
      </c>
      <c r="F32" s="168" t="s">
        <v>163</v>
      </c>
      <c r="G32" s="165">
        <v>0.00017662037037037039</v>
      </c>
      <c r="H32" s="165"/>
      <c r="I32" s="162">
        <v>0.0008386574074074074</v>
      </c>
      <c r="J32" s="162"/>
      <c r="K32" s="162"/>
      <c r="L32" s="162"/>
      <c r="M32" s="166"/>
      <c r="N32" s="169"/>
    </row>
    <row r="33" spans="1:14" ht="12.75">
      <c r="A33" s="158"/>
      <c r="B33" s="167" t="s">
        <v>164</v>
      </c>
      <c r="C33" s="168" t="s">
        <v>169</v>
      </c>
      <c r="D33" s="168" t="s">
        <v>8</v>
      </c>
      <c r="E33" s="168" t="s">
        <v>114</v>
      </c>
      <c r="F33" s="168" t="s">
        <v>163</v>
      </c>
      <c r="G33" s="165">
        <v>0.00018530092592592597</v>
      </c>
      <c r="H33" s="165"/>
      <c r="I33" s="162">
        <v>0.0008843750000000001</v>
      </c>
      <c r="J33" s="162"/>
      <c r="K33" s="162"/>
      <c r="L33" s="162"/>
      <c r="M33" s="166"/>
      <c r="N33" s="169"/>
    </row>
    <row r="34" spans="1:15" s="14" customFormat="1" ht="11.25">
      <c r="A34" s="170">
        <v>35545</v>
      </c>
      <c r="B34" s="167" t="s">
        <v>52</v>
      </c>
      <c r="C34" s="170">
        <v>1</v>
      </c>
      <c r="D34" s="170" t="s">
        <v>41</v>
      </c>
      <c r="E34" s="170" t="s">
        <v>53</v>
      </c>
      <c r="F34" s="170">
        <v>1</v>
      </c>
      <c r="G34" s="160">
        <v>0.00013796296296296297</v>
      </c>
      <c r="H34" s="160">
        <v>0.00033645833333333336</v>
      </c>
      <c r="I34" s="160">
        <v>0.0005207175925925926</v>
      </c>
      <c r="J34" s="161">
        <v>0.0010636574074074075</v>
      </c>
      <c r="K34" s="161">
        <v>0.0016031250000000002</v>
      </c>
      <c r="L34" s="161"/>
      <c r="M34" s="171"/>
      <c r="N34" s="171"/>
      <c r="O34" s="41"/>
    </row>
    <row r="35" spans="1:15" ht="12.75">
      <c r="A35" s="158">
        <v>35557</v>
      </c>
      <c r="B35" s="164" t="s">
        <v>62</v>
      </c>
      <c r="C35" s="158">
        <v>2</v>
      </c>
      <c r="D35" s="158" t="s">
        <v>41</v>
      </c>
      <c r="E35" s="158" t="s">
        <v>53</v>
      </c>
      <c r="F35" s="158">
        <v>1</v>
      </c>
      <c r="G35" s="160">
        <v>0.00014293981481481482</v>
      </c>
      <c r="H35" s="160">
        <v>0.00034375000000000003</v>
      </c>
      <c r="I35" s="160">
        <v>0.0005314814814814814</v>
      </c>
      <c r="J35" s="161">
        <v>0.0010908564814814815</v>
      </c>
      <c r="K35" s="161">
        <v>0.0016556712962962964</v>
      </c>
      <c r="L35" s="162"/>
      <c r="M35" s="163"/>
      <c r="N35" s="163"/>
      <c r="O35" s="36"/>
    </row>
    <row r="36" spans="1:15" s="14" customFormat="1" ht="11.25">
      <c r="A36" s="170">
        <v>35542</v>
      </c>
      <c r="B36" s="167" t="s">
        <v>81</v>
      </c>
      <c r="C36" s="170">
        <v>1</v>
      </c>
      <c r="D36" s="170" t="s">
        <v>41</v>
      </c>
      <c r="E36" s="170" t="s">
        <v>53</v>
      </c>
      <c r="F36" s="170">
        <v>1</v>
      </c>
      <c r="G36" s="160">
        <v>0.00015185185185185183</v>
      </c>
      <c r="H36" s="160">
        <v>0.0003768518518518519</v>
      </c>
      <c r="I36" s="160">
        <v>0.000581712962962963</v>
      </c>
      <c r="J36" s="161">
        <v>0.0011498842592592591</v>
      </c>
      <c r="K36" s="161">
        <v>0.001813773148148148</v>
      </c>
      <c r="L36" s="161"/>
      <c r="M36" s="171"/>
      <c r="N36" s="171"/>
      <c r="O36" s="41"/>
    </row>
    <row r="37" spans="1:14" ht="12.75">
      <c r="A37" s="158">
        <v>35600</v>
      </c>
      <c r="B37" s="164" t="s">
        <v>141</v>
      </c>
      <c r="C37" s="158">
        <v>1</v>
      </c>
      <c r="D37" s="158" t="s">
        <v>41</v>
      </c>
      <c r="E37" s="158" t="s">
        <v>53</v>
      </c>
      <c r="F37" s="158">
        <v>3</v>
      </c>
      <c r="G37" s="160">
        <v>0.0001636574074074074</v>
      </c>
      <c r="H37" s="160">
        <v>0.00041724537037037034</v>
      </c>
      <c r="I37" s="160">
        <v>0.0006479166666666666</v>
      </c>
      <c r="J37" s="161">
        <v>0.0013506944444444445</v>
      </c>
      <c r="K37" s="162"/>
      <c r="L37" s="162"/>
      <c r="M37" s="166"/>
      <c r="N37" s="169"/>
    </row>
    <row r="38" spans="1:15" ht="12.75">
      <c r="A38" s="158">
        <v>35598</v>
      </c>
      <c r="B38" s="159" t="s">
        <v>157</v>
      </c>
      <c r="C38" s="158">
        <v>1</v>
      </c>
      <c r="D38" s="158" t="s">
        <v>41</v>
      </c>
      <c r="E38" s="158" t="s">
        <v>53</v>
      </c>
      <c r="F38" s="158">
        <v>4</v>
      </c>
      <c r="G38" s="160"/>
      <c r="H38" s="160"/>
      <c r="I38" s="161"/>
      <c r="J38" s="161"/>
      <c r="K38" s="162">
        <v>0.002408912037037037</v>
      </c>
      <c r="L38" s="162"/>
      <c r="M38" s="163"/>
      <c r="N38" s="163"/>
      <c r="O38" s="36"/>
    </row>
    <row r="39" spans="1:38" s="14" customFormat="1" ht="11.25">
      <c r="A39" s="168">
        <v>35428</v>
      </c>
      <c r="B39" s="167" t="s">
        <v>27</v>
      </c>
      <c r="C39" s="168">
        <v>2</v>
      </c>
      <c r="D39" s="168" t="s">
        <v>8</v>
      </c>
      <c r="E39" s="158" t="s">
        <v>53</v>
      </c>
      <c r="F39" s="168">
        <v>1</v>
      </c>
      <c r="G39" s="173"/>
      <c r="H39" s="173"/>
      <c r="I39" s="173">
        <v>0.00048287037037037043</v>
      </c>
      <c r="J39" s="174">
        <v>0.0009523148148148148</v>
      </c>
      <c r="K39" s="174">
        <v>0.001488078703703704</v>
      </c>
      <c r="L39" s="174">
        <v>0.0031708333333333332</v>
      </c>
      <c r="M39" s="175"/>
      <c r="N39" s="175"/>
      <c r="O39" s="29"/>
      <c r="Q39" s="32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</row>
    <row r="40" spans="1:15" s="14" customFormat="1" ht="11.25">
      <c r="A40" s="168">
        <v>35526</v>
      </c>
      <c r="B40" s="167" t="s">
        <v>31</v>
      </c>
      <c r="C40" s="170">
        <v>2</v>
      </c>
      <c r="D40" s="168" t="s">
        <v>8</v>
      </c>
      <c r="E40" s="158" t="s">
        <v>53</v>
      </c>
      <c r="F40" s="168">
        <v>1</v>
      </c>
      <c r="G40" s="173">
        <v>0.00012650462962962965</v>
      </c>
      <c r="H40" s="160">
        <v>0.0003096064814814815</v>
      </c>
      <c r="I40" s="160">
        <v>0.00048692129629629633</v>
      </c>
      <c r="J40" s="161">
        <v>0.0009755787037037038</v>
      </c>
      <c r="K40" s="161">
        <v>0.0015246527777777778</v>
      </c>
      <c r="L40" s="174">
        <v>0.0032740740740740746</v>
      </c>
      <c r="M40" s="175"/>
      <c r="N40" s="171"/>
      <c r="O40" s="41"/>
    </row>
    <row r="41" spans="1:15" s="14" customFormat="1" ht="11.25">
      <c r="A41" s="168">
        <v>35546</v>
      </c>
      <c r="B41" s="167" t="s">
        <v>33</v>
      </c>
      <c r="C41" s="170">
        <v>2</v>
      </c>
      <c r="D41" s="168" t="s">
        <v>8</v>
      </c>
      <c r="E41" s="158" t="s">
        <v>53</v>
      </c>
      <c r="F41" s="168">
        <v>1</v>
      </c>
      <c r="G41" s="160">
        <v>0.00013599537037037036</v>
      </c>
      <c r="H41" s="160">
        <v>0.0003256944444444445</v>
      </c>
      <c r="I41" s="160">
        <v>0.0004987268518518519</v>
      </c>
      <c r="J41" s="161">
        <v>0.0009928240740740741</v>
      </c>
      <c r="K41" s="161">
        <v>0.001498263888888889</v>
      </c>
      <c r="L41" s="161">
        <v>0.0032837962962962964</v>
      </c>
      <c r="M41" s="171"/>
      <c r="N41" s="171"/>
      <c r="O41" s="41"/>
    </row>
    <row r="42" spans="1:15" ht="12.75">
      <c r="A42" s="158">
        <v>35564</v>
      </c>
      <c r="B42" s="164" t="s">
        <v>39</v>
      </c>
      <c r="C42" s="158">
        <v>2</v>
      </c>
      <c r="D42" s="158" t="s">
        <v>8</v>
      </c>
      <c r="E42" s="158" t="s">
        <v>53</v>
      </c>
      <c r="F42" s="158">
        <v>1</v>
      </c>
      <c r="G42" s="160">
        <v>0.00013449074074074074</v>
      </c>
      <c r="H42" s="160">
        <v>0.0003295138888888889</v>
      </c>
      <c r="I42" s="160">
        <v>0.0005040509259259259</v>
      </c>
      <c r="J42" s="161">
        <v>0.001011111111111111</v>
      </c>
      <c r="K42" s="161">
        <v>0.001596412037037037</v>
      </c>
      <c r="L42" s="162"/>
      <c r="M42" s="163"/>
      <c r="N42" s="163"/>
      <c r="O42" s="36"/>
    </row>
    <row r="43" spans="1:15" ht="12.75">
      <c r="A43" s="158">
        <v>35579</v>
      </c>
      <c r="B43" s="164" t="s">
        <v>50</v>
      </c>
      <c r="C43" s="158">
        <v>2</v>
      </c>
      <c r="D43" s="158" t="s">
        <v>8</v>
      </c>
      <c r="E43" s="158" t="s">
        <v>53</v>
      </c>
      <c r="F43" s="158">
        <v>1</v>
      </c>
      <c r="G43" s="160">
        <v>0.00013993055555555555</v>
      </c>
      <c r="H43" s="160">
        <v>0.00033634259259259256</v>
      </c>
      <c r="I43" s="160">
        <v>0.000514699074074074</v>
      </c>
      <c r="J43" s="161">
        <v>0.001049537037037037</v>
      </c>
      <c r="K43" s="161">
        <v>0.001624537037037037</v>
      </c>
      <c r="L43" s="162"/>
      <c r="M43" s="163"/>
      <c r="N43" s="163"/>
      <c r="O43" s="36"/>
    </row>
    <row r="44" spans="1:15" ht="12.75">
      <c r="A44" s="158">
        <v>35548</v>
      </c>
      <c r="B44" s="164" t="s">
        <v>54</v>
      </c>
      <c r="C44" s="158">
        <v>1</v>
      </c>
      <c r="D44" s="158" t="s">
        <v>8</v>
      </c>
      <c r="E44" s="158" t="s">
        <v>53</v>
      </c>
      <c r="F44" s="158">
        <v>1</v>
      </c>
      <c r="G44" s="160">
        <v>0.0001388888888888889</v>
      </c>
      <c r="H44" s="160">
        <v>0.0003321759259259259</v>
      </c>
      <c r="I44" s="160">
        <v>0.0005175925925925926</v>
      </c>
      <c r="J44" s="161">
        <v>0.001067824074074074</v>
      </c>
      <c r="K44" s="162">
        <v>0.0016468750000000001</v>
      </c>
      <c r="L44" s="162"/>
      <c r="M44" s="163"/>
      <c r="N44" s="163"/>
      <c r="O44" s="36"/>
    </row>
    <row r="45" spans="1:15" ht="12.75">
      <c r="A45" s="158">
        <v>35560</v>
      </c>
      <c r="B45" s="164" t="s">
        <v>60</v>
      </c>
      <c r="C45" s="158">
        <v>1</v>
      </c>
      <c r="D45" s="158" t="s">
        <v>8</v>
      </c>
      <c r="E45" s="158" t="s">
        <v>53</v>
      </c>
      <c r="F45" s="158">
        <v>1</v>
      </c>
      <c r="G45" s="160">
        <v>0.0001412037037037037</v>
      </c>
      <c r="H45" s="160">
        <v>0.000333912037037037</v>
      </c>
      <c r="I45" s="160">
        <v>0.0005254629629629629</v>
      </c>
      <c r="J45" s="161">
        <v>0.0010846064814814815</v>
      </c>
      <c r="K45" s="162">
        <v>0.0016576388888888888</v>
      </c>
      <c r="L45" s="162"/>
      <c r="M45" s="163"/>
      <c r="N45" s="163"/>
      <c r="O45" s="36"/>
    </row>
    <row r="46" spans="1:15" ht="12.75">
      <c r="A46" s="158">
        <v>35582</v>
      </c>
      <c r="B46" s="164" t="s">
        <v>72</v>
      </c>
      <c r="C46" s="158">
        <v>1</v>
      </c>
      <c r="D46" s="168" t="s">
        <v>8</v>
      </c>
      <c r="E46" s="158" t="s">
        <v>53</v>
      </c>
      <c r="F46" s="158">
        <v>1</v>
      </c>
      <c r="G46" s="160">
        <v>0.00014155092592592594</v>
      </c>
      <c r="H46" s="160">
        <v>0.00035034722222222216</v>
      </c>
      <c r="I46" s="160">
        <v>0.0005276620370370371</v>
      </c>
      <c r="J46" s="161">
        <v>0.0011030092592592593</v>
      </c>
      <c r="K46" s="162">
        <v>0.0017780092592592593</v>
      </c>
      <c r="L46" s="162"/>
      <c r="M46" s="163"/>
      <c r="N46" s="163"/>
      <c r="O46" s="36"/>
    </row>
    <row r="47" spans="1:15" ht="12.75">
      <c r="A47" s="158">
        <v>35565</v>
      </c>
      <c r="B47" s="164" t="s">
        <v>110</v>
      </c>
      <c r="C47" s="158">
        <v>1</v>
      </c>
      <c r="D47" s="158" t="s">
        <v>8</v>
      </c>
      <c r="E47" s="158" t="s">
        <v>53</v>
      </c>
      <c r="F47" s="158">
        <v>2</v>
      </c>
      <c r="G47" s="160">
        <v>0.00014814814814814815</v>
      </c>
      <c r="H47" s="160">
        <v>0.00036851851851851846</v>
      </c>
      <c r="I47" s="160">
        <v>0.0005621527777777778</v>
      </c>
      <c r="J47" s="161">
        <v>0.0011738425925925924</v>
      </c>
      <c r="K47" s="162"/>
      <c r="L47" s="162"/>
      <c r="M47" s="163"/>
      <c r="N47" s="163"/>
      <c r="O47" s="36"/>
    </row>
    <row r="48" spans="1:15" ht="12.75">
      <c r="A48" s="158">
        <v>35578</v>
      </c>
      <c r="B48" s="164" t="s">
        <v>82</v>
      </c>
      <c r="C48" s="158">
        <v>1</v>
      </c>
      <c r="D48" s="168" t="s">
        <v>8</v>
      </c>
      <c r="E48" s="168" t="s">
        <v>53</v>
      </c>
      <c r="F48" s="158">
        <v>2</v>
      </c>
      <c r="G48" s="160">
        <v>0.00014953703703703703</v>
      </c>
      <c r="H48" s="160">
        <v>0.00036608796296296297</v>
      </c>
      <c r="I48" s="160">
        <v>0.0005650462962962962</v>
      </c>
      <c r="J48" s="161">
        <v>0.0011579861111111112</v>
      </c>
      <c r="K48" s="162">
        <v>0.0018865740740740742</v>
      </c>
      <c r="L48" s="162"/>
      <c r="M48" s="163"/>
      <c r="N48" s="163"/>
      <c r="O48" s="36"/>
    </row>
    <row r="49" spans="1:15" ht="12.75">
      <c r="A49" s="158">
        <v>35590</v>
      </c>
      <c r="B49" s="164" t="s">
        <v>116</v>
      </c>
      <c r="C49" s="158">
        <v>2</v>
      </c>
      <c r="D49" s="158" t="s">
        <v>8</v>
      </c>
      <c r="E49" s="158" t="s">
        <v>53</v>
      </c>
      <c r="F49" s="158">
        <v>2</v>
      </c>
      <c r="G49" s="160">
        <v>0.0001457175925925926</v>
      </c>
      <c r="H49" s="160">
        <v>0.0003590277777777778</v>
      </c>
      <c r="I49" s="165">
        <v>0.0005718749999999999</v>
      </c>
      <c r="J49" s="162">
        <v>0.0012037037037037038</v>
      </c>
      <c r="K49" s="162"/>
      <c r="L49" s="162"/>
      <c r="M49" s="163"/>
      <c r="N49" s="163"/>
      <c r="O49" s="36"/>
    </row>
    <row r="50" spans="1:15" ht="12.75">
      <c r="A50" s="158">
        <v>35617</v>
      </c>
      <c r="B50" s="164" t="s">
        <v>94</v>
      </c>
      <c r="C50" s="158">
        <v>1</v>
      </c>
      <c r="D50" s="158" t="s">
        <v>8</v>
      </c>
      <c r="E50" s="158" t="s">
        <v>53</v>
      </c>
      <c r="F50" s="158">
        <v>4</v>
      </c>
      <c r="G50" s="165">
        <v>0.00016377314814814816</v>
      </c>
      <c r="H50" s="165">
        <v>0.00045312499999999997</v>
      </c>
      <c r="I50" s="165">
        <v>0.0006756944444444445</v>
      </c>
      <c r="J50" s="162">
        <v>0.0014288194444444446</v>
      </c>
      <c r="K50" s="162"/>
      <c r="L50" s="162"/>
      <c r="M50" s="166"/>
      <c r="N50" s="166"/>
      <c r="O50" s="35"/>
    </row>
    <row r="51" spans="1:38" s="14" customFormat="1" ht="11.25">
      <c r="A51" s="168">
        <v>35422</v>
      </c>
      <c r="B51" s="167" t="s">
        <v>45</v>
      </c>
      <c r="C51" s="168">
        <v>1</v>
      </c>
      <c r="D51" s="168" t="s">
        <v>41</v>
      </c>
      <c r="E51" s="168" t="s">
        <v>28</v>
      </c>
      <c r="F51" s="168">
        <v>1</v>
      </c>
      <c r="G51" s="173">
        <v>0.0001365740740740741</v>
      </c>
      <c r="H51" s="173">
        <v>0.0003295138888888889</v>
      </c>
      <c r="I51" s="173">
        <v>0.0005092592592592592</v>
      </c>
      <c r="J51" s="174">
        <v>0.0010467592592592592</v>
      </c>
      <c r="K51" s="174">
        <v>0.0016255787037037037</v>
      </c>
      <c r="L51" s="174">
        <v>0.0034861111111111104</v>
      </c>
      <c r="M51" s="175"/>
      <c r="N51" s="175"/>
      <c r="O51" s="29"/>
      <c r="Q51" s="32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</row>
    <row r="52" spans="1:38" s="14" customFormat="1" ht="11.25">
      <c r="A52" s="168">
        <v>35421</v>
      </c>
      <c r="B52" s="167" t="s">
        <v>59</v>
      </c>
      <c r="C52" s="168">
        <v>2</v>
      </c>
      <c r="D52" s="168" t="s">
        <v>41</v>
      </c>
      <c r="E52" s="168" t="s">
        <v>28</v>
      </c>
      <c r="F52" s="168">
        <v>1</v>
      </c>
      <c r="G52" s="173">
        <v>0.00014224537037037035</v>
      </c>
      <c r="H52" s="173">
        <v>0.0003395833333333333</v>
      </c>
      <c r="I52" s="173">
        <v>0.0005332175925925926</v>
      </c>
      <c r="J52" s="174">
        <v>0.001071412037037037</v>
      </c>
      <c r="K52" s="174">
        <v>0.0016915509259259256</v>
      </c>
      <c r="L52" s="174">
        <v>0.0038375</v>
      </c>
      <c r="M52" s="175"/>
      <c r="N52" s="175"/>
      <c r="O52" s="29"/>
      <c r="Q52" s="32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</row>
    <row r="53" spans="1:15" ht="12.75">
      <c r="A53" s="158">
        <v>35558</v>
      </c>
      <c r="B53" s="164" t="s">
        <v>66</v>
      </c>
      <c r="C53" s="158">
        <v>1</v>
      </c>
      <c r="D53" s="158" t="s">
        <v>41</v>
      </c>
      <c r="E53" s="168" t="s">
        <v>28</v>
      </c>
      <c r="F53" s="158">
        <v>1</v>
      </c>
      <c r="G53" s="160">
        <v>0.00014236111111111112</v>
      </c>
      <c r="H53" s="160">
        <v>0.00033634259259259256</v>
      </c>
      <c r="I53" s="160">
        <v>0.0005336805555555556</v>
      </c>
      <c r="J53" s="161">
        <v>0.0010712962962962965</v>
      </c>
      <c r="K53" s="161">
        <v>0.0017059027777777778</v>
      </c>
      <c r="L53" s="162"/>
      <c r="M53" s="163"/>
      <c r="N53" s="163"/>
      <c r="O53" s="36"/>
    </row>
    <row r="54" spans="1:38" s="14" customFormat="1" ht="11.25">
      <c r="A54" s="168">
        <v>35423</v>
      </c>
      <c r="B54" s="167" t="s">
        <v>74</v>
      </c>
      <c r="C54" s="168">
        <v>1</v>
      </c>
      <c r="D54" s="168" t="s">
        <v>41</v>
      </c>
      <c r="E54" s="168" t="s">
        <v>28</v>
      </c>
      <c r="F54" s="168">
        <v>1</v>
      </c>
      <c r="G54" s="173"/>
      <c r="H54" s="173"/>
      <c r="I54" s="173">
        <v>0.0005652777777777778</v>
      </c>
      <c r="J54" s="174">
        <v>0.0011378472222222222</v>
      </c>
      <c r="K54" s="174">
        <v>0.0017765046296296296</v>
      </c>
      <c r="L54" s="174">
        <v>0.0038738425925925924</v>
      </c>
      <c r="M54" s="175"/>
      <c r="N54" s="175"/>
      <c r="O54" s="29"/>
      <c r="Q54" s="32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</row>
    <row r="55" spans="1:15" ht="12.75">
      <c r="A55" s="158">
        <v>35595</v>
      </c>
      <c r="B55" s="159" t="s">
        <v>84</v>
      </c>
      <c r="C55" s="158">
        <v>2</v>
      </c>
      <c r="D55" s="158" t="s">
        <v>41</v>
      </c>
      <c r="E55" s="158" t="s">
        <v>173</v>
      </c>
      <c r="F55" s="158">
        <v>2</v>
      </c>
      <c r="G55" s="160">
        <v>0.00015752314814814814</v>
      </c>
      <c r="H55" s="160">
        <v>0.0003835648148148148</v>
      </c>
      <c r="I55" s="160">
        <v>0.0006026620370370371</v>
      </c>
      <c r="J55" s="174">
        <v>0.0012248842592592593</v>
      </c>
      <c r="K55" s="161"/>
      <c r="L55" s="176"/>
      <c r="M55" s="163"/>
      <c r="N55" s="163"/>
      <c r="O55" s="36"/>
    </row>
    <row r="56" spans="1:15" ht="12.75">
      <c r="A56" s="158">
        <v>35603</v>
      </c>
      <c r="B56" s="159" t="s">
        <v>88</v>
      </c>
      <c r="C56" s="158">
        <v>1</v>
      </c>
      <c r="D56" s="158" t="s">
        <v>41</v>
      </c>
      <c r="E56" s="168" t="s">
        <v>28</v>
      </c>
      <c r="F56" s="158">
        <v>3</v>
      </c>
      <c r="G56" s="160"/>
      <c r="H56" s="160"/>
      <c r="I56" s="160">
        <v>0.0006082175925925926</v>
      </c>
      <c r="J56" s="161">
        <v>0.0012416666666666667</v>
      </c>
      <c r="K56" s="161">
        <v>0.00196875</v>
      </c>
      <c r="L56" s="162"/>
      <c r="M56" s="163"/>
      <c r="N56" s="163"/>
      <c r="O56" s="36"/>
    </row>
    <row r="57" spans="1:38" s="14" customFormat="1" ht="11.25">
      <c r="A57" s="168">
        <v>35334</v>
      </c>
      <c r="B57" s="167" t="s">
        <v>89</v>
      </c>
      <c r="C57" s="168">
        <v>2</v>
      </c>
      <c r="D57" s="168" t="s">
        <v>41</v>
      </c>
      <c r="E57" s="168" t="s">
        <v>28</v>
      </c>
      <c r="F57" s="168">
        <v>3</v>
      </c>
      <c r="G57" s="173">
        <v>0.00037094907407407405</v>
      </c>
      <c r="H57" s="173">
        <v>0.0003994212962962962</v>
      </c>
      <c r="I57" s="173">
        <v>0.0006215277777777778</v>
      </c>
      <c r="J57" s="174">
        <v>0.0012636574074074074</v>
      </c>
      <c r="K57" s="174">
        <v>0.0019063657407407406</v>
      </c>
      <c r="L57" s="174"/>
      <c r="M57" s="175"/>
      <c r="N57" s="175"/>
      <c r="O57" s="29"/>
      <c r="Q57" s="32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</row>
    <row r="58" spans="1:15" ht="12.75">
      <c r="A58" s="158">
        <v>35574</v>
      </c>
      <c r="B58" s="164" t="s">
        <v>29</v>
      </c>
      <c r="C58" s="158">
        <v>1</v>
      </c>
      <c r="D58" s="158" t="s">
        <v>8</v>
      </c>
      <c r="E58" s="158" t="s">
        <v>28</v>
      </c>
      <c r="F58" s="158">
        <v>1</v>
      </c>
      <c r="G58" s="160"/>
      <c r="H58" s="160">
        <v>0.00030127314814814817</v>
      </c>
      <c r="I58" s="160">
        <v>0.00047314814814814816</v>
      </c>
      <c r="J58" s="161">
        <v>0.0009814814814814814</v>
      </c>
      <c r="K58" s="161">
        <v>0.0014957175925925928</v>
      </c>
      <c r="L58" s="162">
        <v>0.0033189814814814818</v>
      </c>
      <c r="M58" s="163"/>
      <c r="N58" s="163"/>
      <c r="O58" s="36"/>
    </row>
    <row r="59" spans="1:15" ht="12.75">
      <c r="A59" s="158">
        <v>35586</v>
      </c>
      <c r="B59" s="159" t="s">
        <v>57</v>
      </c>
      <c r="C59" s="158">
        <v>2</v>
      </c>
      <c r="D59" s="158" t="s">
        <v>8</v>
      </c>
      <c r="E59" s="158" t="s">
        <v>173</v>
      </c>
      <c r="F59" s="158">
        <v>2</v>
      </c>
      <c r="G59" s="160">
        <v>0.0001315972222222222</v>
      </c>
      <c r="H59" s="160">
        <v>0.00032361111111111116</v>
      </c>
      <c r="I59" s="160">
        <v>0.0005172453703703704</v>
      </c>
      <c r="J59" s="161">
        <v>0.001079861111111111</v>
      </c>
      <c r="K59" s="161"/>
      <c r="L59" s="162"/>
      <c r="M59" s="163"/>
      <c r="N59" s="163"/>
      <c r="O59" s="36"/>
    </row>
    <row r="60" spans="1:15" ht="12.75">
      <c r="A60" s="158">
        <v>35570</v>
      </c>
      <c r="B60" s="164" t="s">
        <v>58</v>
      </c>
      <c r="C60" s="158">
        <v>1</v>
      </c>
      <c r="D60" s="158" t="s">
        <v>8</v>
      </c>
      <c r="E60" s="158" t="s">
        <v>28</v>
      </c>
      <c r="F60" s="158">
        <v>2</v>
      </c>
      <c r="G60" s="160">
        <v>0.00013645833333333332</v>
      </c>
      <c r="H60" s="160">
        <v>0.0003326388888888889</v>
      </c>
      <c r="I60" s="160">
        <v>0.0005230324074074074</v>
      </c>
      <c r="J60" s="161">
        <v>0.0010766203703703704</v>
      </c>
      <c r="K60" s="161">
        <v>0.0016537037037037035</v>
      </c>
      <c r="L60" s="162">
        <v>0.003614583333333334</v>
      </c>
      <c r="M60" s="163"/>
      <c r="N60" s="163"/>
      <c r="O60" s="36"/>
    </row>
    <row r="61" spans="1:38" s="14" customFormat="1" ht="11.25">
      <c r="A61" s="168">
        <v>35530</v>
      </c>
      <c r="B61" s="167" t="s">
        <v>55</v>
      </c>
      <c r="C61" s="168">
        <v>2</v>
      </c>
      <c r="D61" s="168" t="s">
        <v>8</v>
      </c>
      <c r="E61" s="168" t="s">
        <v>28</v>
      </c>
      <c r="F61" s="168">
        <v>2</v>
      </c>
      <c r="G61" s="173">
        <v>0.00013645833333333332</v>
      </c>
      <c r="H61" s="173">
        <v>0.0003337962962962963</v>
      </c>
      <c r="I61" s="173">
        <v>0.0005238425925925926</v>
      </c>
      <c r="J61" s="174">
        <v>0.001058564814814815</v>
      </c>
      <c r="K61" s="174">
        <v>0.001648263888888889</v>
      </c>
      <c r="L61" s="174">
        <v>0.0036913194444444446</v>
      </c>
      <c r="M61" s="175"/>
      <c r="N61" s="175"/>
      <c r="O61" s="29"/>
      <c r="Q61" s="32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</row>
    <row r="62" spans="1:38" s="14" customFormat="1" ht="11.25">
      <c r="A62" s="168">
        <v>35318</v>
      </c>
      <c r="B62" s="167" t="s">
        <v>75</v>
      </c>
      <c r="C62" s="168">
        <v>2</v>
      </c>
      <c r="D62" s="168" t="s">
        <v>41</v>
      </c>
      <c r="E62" s="168" t="s">
        <v>18</v>
      </c>
      <c r="F62" s="168">
        <v>1</v>
      </c>
      <c r="G62" s="173">
        <v>0.00015081018518518517</v>
      </c>
      <c r="H62" s="173">
        <v>0.00035740740740740736</v>
      </c>
      <c r="I62" s="173">
        <v>0.0005568287037037037</v>
      </c>
      <c r="J62" s="174">
        <v>0.0011064814814814815</v>
      </c>
      <c r="K62" s="174">
        <v>0.0017547453703703703</v>
      </c>
      <c r="L62" s="174">
        <v>0.003770486111111111</v>
      </c>
      <c r="M62" s="175"/>
      <c r="N62" s="175"/>
      <c r="O62" s="29"/>
      <c r="Q62" s="32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</row>
    <row r="63" spans="1:15" ht="12.75">
      <c r="A63" s="158">
        <v>35599</v>
      </c>
      <c r="B63" s="159" t="s">
        <v>91</v>
      </c>
      <c r="C63" s="158">
        <v>2</v>
      </c>
      <c r="D63" s="158" t="s">
        <v>41</v>
      </c>
      <c r="E63" s="158" t="s">
        <v>140</v>
      </c>
      <c r="F63" s="158">
        <v>3</v>
      </c>
      <c r="G63" s="160"/>
      <c r="H63" s="160"/>
      <c r="I63" s="161">
        <v>0.0007881944444444446</v>
      </c>
      <c r="J63" s="161">
        <v>0.001304513888888889</v>
      </c>
      <c r="K63" s="161"/>
      <c r="L63" s="176"/>
      <c r="M63" s="163"/>
      <c r="N63" s="163"/>
      <c r="O63" s="36"/>
    </row>
    <row r="64" spans="1:38" s="14" customFormat="1" ht="11.25">
      <c r="A64" s="168">
        <v>35291</v>
      </c>
      <c r="B64" s="167" t="s">
        <v>20</v>
      </c>
      <c r="C64" s="168">
        <v>2</v>
      </c>
      <c r="D64" s="168" t="s">
        <v>8</v>
      </c>
      <c r="E64" s="168" t="s">
        <v>18</v>
      </c>
      <c r="F64" s="168">
        <v>1</v>
      </c>
      <c r="G64" s="173"/>
      <c r="H64" s="173"/>
      <c r="I64" s="173">
        <v>0.0004635416666666666</v>
      </c>
      <c r="J64" s="174">
        <v>0.0009368055555555556</v>
      </c>
      <c r="K64" s="174">
        <v>0.0014336805555555554</v>
      </c>
      <c r="L64" s="174">
        <v>0.0030292824074074076</v>
      </c>
      <c r="M64" s="171">
        <v>0.005233449074074074</v>
      </c>
      <c r="N64" s="175"/>
      <c r="O64" s="29"/>
      <c r="Q64" s="32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</row>
    <row r="65" spans="1:38" s="14" customFormat="1" ht="11.25">
      <c r="A65" s="168">
        <v>35330</v>
      </c>
      <c r="B65" s="167" t="s">
        <v>17</v>
      </c>
      <c r="C65" s="168">
        <v>1</v>
      </c>
      <c r="D65" s="168" t="s">
        <v>8</v>
      </c>
      <c r="E65" s="168" t="s">
        <v>18</v>
      </c>
      <c r="F65" s="168">
        <v>1</v>
      </c>
      <c r="G65" s="173"/>
      <c r="H65" s="173"/>
      <c r="I65" s="173">
        <v>0.000460763888888889</v>
      </c>
      <c r="J65" s="174">
        <v>0.0009069444444444445</v>
      </c>
      <c r="K65" s="174">
        <v>0.0014340277777777778</v>
      </c>
      <c r="L65" s="174"/>
      <c r="M65" s="175"/>
      <c r="N65" s="175"/>
      <c r="O65" s="29"/>
      <c r="Q65" s="32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</row>
    <row r="66" spans="1:38" s="14" customFormat="1" ht="11.25">
      <c r="A66" s="168">
        <v>35408</v>
      </c>
      <c r="B66" s="167" t="s">
        <v>19</v>
      </c>
      <c r="C66" s="168">
        <v>2</v>
      </c>
      <c r="D66" s="168" t="s">
        <v>8</v>
      </c>
      <c r="E66" s="168" t="s">
        <v>18</v>
      </c>
      <c r="F66" s="168">
        <v>1</v>
      </c>
      <c r="G66" s="173">
        <v>0.00012280092592592591</v>
      </c>
      <c r="H66" s="173">
        <v>0.0002978009259259259</v>
      </c>
      <c r="I66" s="173">
        <v>0.0004608796296296296</v>
      </c>
      <c r="J66" s="174">
        <v>0.0009174768518518517</v>
      </c>
      <c r="K66" s="174">
        <v>0.0014243055555555556</v>
      </c>
      <c r="L66" s="174">
        <v>0.0030292824074074076</v>
      </c>
      <c r="M66" s="175"/>
      <c r="N66" s="175"/>
      <c r="O66" s="29"/>
      <c r="Q66" s="32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</row>
    <row r="67" spans="1:38" s="14" customFormat="1" ht="11.25">
      <c r="A67" s="168">
        <v>35413</v>
      </c>
      <c r="B67" s="167" t="s">
        <v>37</v>
      </c>
      <c r="C67" s="168">
        <v>2</v>
      </c>
      <c r="D67" s="168" t="s">
        <v>8</v>
      </c>
      <c r="E67" s="168" t="s">
        <v>18</v>
      </c>
      <c r="F67" s="168">
        <v>2</v>
      </c>
      <c r="G67" s="173">
        <v>0.0001269675925925926</v>
      </c>
      <c r="H67" s="173">
        <v>0.00031122685185185187</v>
      </c>
      <c r="I67" s="173">
        <v>0.0004880787037037037</v>
      </c>
      <c r="J67" s="174">
        <v>0.0010011574074074074</v>
      </c>
      <c r="K67" s="174">
        <v>0.0015570601851851854</v>
      </c>
      <c r="L67" s="174">
        <v>0.0033670138888888886</v>
      </c>
      <c r="M67" s="175"/>
      <c r="N67" s="175"/>
      <c r="O67" s="29"/>
      <c r="Q67" s="32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</row>
    <row r="68" spans="1:38" s="14" customFormat="1" ht="11.25">
      <c r="A68" s="168">
        <v>35346</v>
      </c>
      <c r="B68" s="167" t="s">
        <v>64</v>
      </c>
      <c r="C68" s="168">
        <v>1</v>
      </c>
      <c r="D68" s="168" t="s">
        <v>41</v>
      </c>
      <c r="E68" s="168" t="s">
        <v>9</v>
      </c>
      <c r="F68" s="168">
        <v>1</v>
      </c>
      <c r="G68" s="173">
        <v>0.00014039351851851854</v>
      </c>
      <c r="H68" s="173">
        <v>0.00033657407407407404</v>
      </c>
      <c r="I68" s="173">
        <v>0.0005320601851851852</v>
      </c>
      <c r="J68" s="174">
        <v>0.0011221064814814815</v>
      </c>
      <c r="K68" s="174">
        <v>0.0017371527777777778</v>
      </c>
      <c r="L68" s="174">
        <v>0.003843865740740741</v>
      </c>
      <c r="M68" s="175"/>
      <c r="N68" s="175"/>
      <c r="O68" s="29"/>
      <c r="Q68" s="32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</row>
    <row r="69" spans="1:38" s="14" customFormat="1" ht="11.25">
      <c r="A69" s="168">
        <v>35277</v>
      </c>
      <c r="B69" s="167" t="s">
        <v>73</v>
      </c>
      <c r="C69" s="168">
        <v>3</v>
      </c>
      <c r="D69" s="168" t="s">
        <v>41</v>
      </c>
      <c r="E69" s="168" t="s">
        <v>9</v>
      </c>
      <c r="F69" s="168">
        <v>1</v>
      </c>
      <c r="G69" s="173">
        <v>0.00014525462962962965</v>
      </c>
      <c r="H69" s="173">
        <v>0.00035474537037037034</v>
      </c>
      <c r="I69" s="173">
        <v>0.0005533564814814815</v>
      </c>
      <c r="J69" s="174">
        <v>0.0011230324074074074</v>
      </c>
      <c r="K69" s="174">
        <v>0.001717476851851852</v>
      </c>
      <c r="L69" s="174">
        <v>0.003732060185185185</v>
      </c>
      <c r="M69" s="175"/>
      <c r="N69" s="175"/>
      <c r="O69" s="29"/>
      <c r="Q69" s="32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</row>
    <row r="70" spans="1:38" s="14" customFormat="1" ht="11.25">
      <c r="A70" s="168">
        <v>35279</v>
      </c>
      <c r="B70" s="167" t="s">
        <v>87</v>
      </c>
      <c r="C70" s="168">
        <v>2</v>
      </c>
      <c r="D70" s="168" t="s">
        <v>41</v>
      </c>
      <c r="E70" s="168" t="s">
        <v>9</v>
      </c>
      <c r="F70" s="168">
        <v>3</v>
      </c>
      <c r="G70" s="173">
        <v>0.0001568287037037037</v>
      </c>
      <c r="H70" s="173">
        <v>0.000390625</v>
      </c>
      <c r="I70" s="173">
        <v>0.0006076388888888889</v>
      </c>
      <c r="J70" s="174">
        <v>0.001302662037037037</v>
      </c>
      <c r="K70" s="174"/>
      <c r="L70" s="174"/>
      <c r="M70" s="175"/>
      <c r="N70" s="175"/>
      <c r="O70" s="29"/>
      <c r="Q70" s="32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</row>
    <row r="71" spans="1:38" s="14" customFormat="1" ht="11.25">
      <c r="A71" s="168">
        <v>35290</v>
      </c>
      <c r="B71" s="167" t="s">
        <v>7</v>
      </c>
      <c r="C71" s="168">
        <v>1</v>
      </c>
      <c r="D71" s="168" t="s">
        <v>8</v>
      </c>
      <c r="E71" s="168" t="s">
        <v>9</v>
      </c>
      <c r="F71" s="168">
        <v>1</v>
      </c>
      <c r="G71" s="173">
        <v>0.00011701388888888889</v>
      </c>
      <c r="H71" s="173">
        <v>0.0002753472222222222</v>
      </c>
      <c r="I71" s="173">
        <v>0.0004212962962962963</v>
      </c>
      <c r="J71" s="174">
        <v>0.0008484953703703704</v>
      </c>
      <c r="K71" s="174">
        <v>0.0013105324074074076</v>
      </c>
      <c r="L71" s="174">
        <v>0.0028393518518518516</v>
      </c>
      <c r="M71" s="175">
        <v>0.004888888888888889</v>
      </c>
      <c r="N71" s="175"/>
      <c r="O71" s="29"/>
      <c r="Q71" s="32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</row>
    <row r="72" spans="1:38" s="14" customFormat="1" ht="11.25">
      <c r="A72" s="168">
        <v>35372</v>
      </c>
      <c r="B72" s="167" t="s">
        <v>26</v>
      </c>
      <c r="C72" s="168">
        <v>1</v>
      </c>
      <c r="D72" s="168" t="s">
        <v>8</v>
      </c>
      <c r="E72" s="168" t="s">
        <v>9</v>
      </c>
      <c r="F72" s="168">
        <v>1</v>
      </c>
      <c r="G72" s="173">
        <v>0.00012534722222222222</v>
      </c>
      <c r="H72" s="173">
        <v>0.00030347222222222223</v>
      </c>
      <c r="I72" s="173">
        <v>0.0004715277777777778</v>
      </c>
      <c r="J72" s="174">
        <v>0.0009646990740740741</v>
      </c>
      <c r="K72" s="174">
        <v>0.0014943287037037037</v>
      </c>
      <c r="L72" s="174">
        <v>0.003434490740740741</v>
      </c>
      <c r="M72" s="175">
        <v>0.005965393518518518</v>
      </c>
      <c r="N72" s="175"/>
      <c r="O72" s="29"/>
      <c r="Q72" s="32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</row>
    <row r="73" spans="1:38" s="14" customFormat="1" ht="11.25">
      <c r="A73" s="168">
        <v>35220</v>
      </c>
      <c r="B73" s="167" t="s">
        <v>21</v>
      </c>
      <c r="C73" s="168">
        <v>3</v>
      </c>
      <c r="D73" s="168" t="s">
        <v>8</v>
      </c>
      <c r="E73" s="168" t="s">
        <v>9</v>
      </c>
      <c r="F73" s="168">
        <v>1</v>
      </c>
      <c r="G73" s="173">
        <v>0.00013055555555555555</v>
      </c>
      <c r="H73" s="173">
        <v>0.00031087962962962965</v>
      </c>
      <c r="I73" s="173">
        <v>0.00048298611111111106</v>
      </c>
      <c r="J73" s="174">
        <v>0.0009484953703703703</v>
      </c>
      <c r="K73" s="174">
        <v>0.0014471064814814815</v>
      </c>
      <c r="L73" s="174">
        <v>0.0030577546296296295</v>
      </c>
      <c r="M73" s="175">
        <v>0.005338310185185185</v>
      </c>
      <c r="N73" s="175">
        <v>0.011368749999999999</v>
      </c>
      <c r="O73" s="29"/>
      <c r="Q73" s="32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</row>
    <row r="74" spans="1:38" s="14" customFormat="1" ht="11.25">
      <c r="A74" s="168">
        <v>35311</v>
      </c>
      <c r="B74" s="167" t="s">
        <v>42</v>
      </c>
      <c r="C74" s="168">
        <v>2</v>
      </c>
      <c r="D74" s="168" t="s">
        <v>8</v>
      </c>
      <c r="E74" s="168" t="s">
        <v>9</v>
      </c>
      <c r="F74" s="168">
        <v>3</v>
      </c>
      <c r="G74" s="173"/>
      <c r="H74" s="173"/>
      <c r="I74" s="173">
        <v>0.000496875</v>
      </c>
      <c r="J74" s="174">
        <v>0.0010136574074074073</v>
      </c>
      <c r="K74" s="174">
        <v>0.0016585648148148148</v>
      </c>
      <c r="L74" s="174"/>
      <c r="M74" s="175"/>
      <c r="N74" s="175"/>
      <c r="O74" s="29"/>
      <c r="Q74" s="32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</row>
    <row r="75" spans="1:14" ht="12.75">
      <c r="A75" s="158">
        <v>35245</v>
      </c>
      <c r="B75" s="164" t="s">
        <v>34</v>
      </c>
      <c r="C75" s="158">
        <v>3</v>
      </c>
      <c r="D75" s="158" t="s">
        <v>8</v>
      </c>
      <c r="E75" s="158" t="s">
        <v>9</v>
      </c>
      <c r="F75" s="158" t="s">
        <v>15</v>
      </c>
      <c r="G75" s="158"/>
      <c r="H75" s="177"/>
      <c r="I75" s="165">
        <v>0.0005153935185185184</v>
      </c>
      <c r="J75" s="162"/>
      <c r="K75" s="162"/>
      <c r="L75" s="162"/>
      <c r="M75" s="166"/>
      <c r="N75" s="169"/>
    </row>
    <row r="76" spans="1:38" s="14" customFormat="1" ht="11.25">
      <c r="A76" s="168">
        <v>35122</v>
      </c>
      <c r="B76" s="167" t="s">
        <v>10</v>
      </c>
      <c r="C76" s="168">
        <v>1</v>
      </c>
      <c r="D76" s="168" t="s">
        <v>8</v>
      </c>
      <c r="E76" s="168" t="s">
        <v>11</v>
      </c>
      <c r="F76" s="168">
        <v>1</v>
      </c>
      <c r="G76" s="173">
        <v>0.00012013888888888891</v>
      </c>
      <c r="H76" s="173">
        <v>0.0002928240740740741</v>
      </c>
      <c r="I76" s="173">
        <v>0.00045208333333333336</v>
      </c>
      <c r="J76" s="174">
        <v>0.000922337962962963</v>
      </c>
      <c r="K76" s="174"/>
      <c r="L76" s="174"/>
      <c r="M76" s="175"/>
      <c r="N76" s="175"/>
      <c r="O76" s="29"/>
      <c r="Q76" s="32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</row>
    <row r="77" spans="1:15" ht="12.75">
      <c r="A77" s="158">
        <v>35630</v>
      </c>
      <c r="B77" s="164" t="s">
        <v>12</v>
      </c>
      <c r="C77" s="158"/>
      <c r="D77" s="158" t="s">
        <v>8</v>
      </c>
      <c r="E77" s="158" t="s">
        <v>13</v>
      </c>
      <c r="F77" s="158">
        <v>2</v>
      </c>
      <c r="G77" s="173">
        <v>0.00013113425925925925</v>
      </c>
      <c r="H77" s="173"/>
      <c r="I77" s="173">
        <v>0.00045810185185185184</v>
      </c>
      <c r="J77" s="174">
        <v>0.0008868055555555556</v>
      </c>
      <c r="K77" s="174">
        <v>0.0013530092592592593</v>
      </c>
      <c r="L77" s="162">
        <v>0.00286875</v>
      </c>
      <c r="M77" s="166">
        <v>0.004904166666666667</v>
      </c>
      <c r="N77" s="166">
        <v>0.010720833333333334</v>
      </c>
      <c r="O77" s="35"/>
    </row>
    <row r="78" spans="1:15" s="14" customFormat="1" ht="11.25">
      <c r="A78" s="170">
        <v>35037</v>
      </c>
      <c r="B78" s="167" t="s">
        <v>23</v>
      </c>
      <c r="C78" s="170"/>
      <c r="D78" s="170" t="s">
        <v>8</v>
      </c>
      <c r="E78" s="170" t="s">
        <v>13</v>
      </c>
      <c r="F78" s="170">
        <v>2</v>
      </c>
      <c r="G78" s="160"/>
      <c r="H78" s="160"/>
      <c r="I78" s="160">
        <v>0.00048368055555555556</v>
      </c>
      <c r="J78" s="161">
        <v>0.0009849537037037038</v>
      </c>
      <c r="K78" s="161">
        <v>0.0014768518518518516</v>
      </c>
      <c r="L78" s="161">
        <v>0.0032987268518518517</v>
      </c>
      <c r="M78" s="171"/>
      <c r="N78" s="171"/>
      <c r="O78" s="41"/>
    </row>
    <row r="79" spans="1:15" s="14" customFormat="1" ht="11.25">
      <c r="A79" s="170">
        <v>35035</v>
      </c>
      <c r="B79" s="167" t="s">
        <v>22</v>
      </c>
      <c r="C79" s="170"/>
      <c r="D79" s="170" t="s">
        <v>8</v>
      </c>
      <c r="E79" s="170" t="s">
        <v>13</v>
      </c>
      <c r="F79" s="170">
        <v>2</v>
      </c>
      <c r="G79" s="160"/>
      <c r="H79" s="160"/>
      <c r="I79" s="160">
        <v>0.0004886574074074074</v>
      </c>
      <c r="J79" s="161">
        <v>0.0009537037037037037</v>
      </c>
      <c r="K79" s="161">
        <v>0.0014696759259259261</v>
      </c>
      <c r="L79" s="161">
        <v>0.0031269675925925926</v>
      </c>
      <c r="M79" s="171">
        <v>0.005455902777777778</v>
      </c>
      <c r="N79" s="171"/>
      <c r="O79" s="41"/>
    </row>
    <row r="80" spans="1:38" s="14" customFormat="1" ht="11.25">
      <c r="A80" s="168">
        <v>35536</v>
      </c>
      <c r="B80" s="167" t="s">
        <v>35</v>
      </c>
      <c r="C80" s="168">
        <v>1</v>
      </c>
      <c r="D80" s="168" t="s">
        <v>8</v>
      </c>
      <c r="E80" s="168" t="s">
        <v>11</v>
      </c>
      <c r="F80" s="168">
        <v>3</v>
      </c>
      <c r="G80" s="173"/>
      <c r="H80" s="173"/>
      <c r="I80" s="173">
        <v>0.0005109953703703703</v>
      </c>
      <c r="J80" s="174">
        <v>0.0010361111111111111</v>
      </c>
      <c r="K80" s="174"/>
      <c r="L80" s="174"/>
      <c r="M80" s="175"/>
      <c r="N80" s="175"/>
      <c r="O80" s="29"/>
      <c r="Q80" s="32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</row>
    <row r="81" spans="1:15" ht="12.75">
      <c r="A81" s="158">
        <v>35134</v>
      </c>
      <c r="B81" s="164" t="s">
        <v>48</v>
      </c>
      <c r="C81" s="158"/>
      <c r="D81" s="158" t="s">
        <v>8</v>
      </c>
      <c r="E81" s="158" t="s">
        <v>13</v>
      </c>
      <c r="F81" s="158">
        <v>3</v>
      </c>
      <c r="G81" s="165"/>
      <c r="H81" s="165"/>
      <c r="I81" s="165">
        <v>0.0005190972222222222</v>
      </c>
      <c r="J81" s="162">
        <v>0.0010363425925925926</v>
      </c>
      <c r="K81" s="162" t="s">
        <v>49</v>
      </c>
      <c r="L81" s="162"/>
      <c r="M81" s="166"/>
      <c r="N81" s="166"/>
      <c r="O81" s="35"/>
    </row>
    <row r="82" spans="1:15" ht="12.75">
      <c r="A82" s="158">
        <v>35198</v>
      </c>
      <c r="B82" s="159" t="s">
        <v>86</v>
      </c>
      <c r="C82" s="158"/>
      <c r="D82" s="158" t="s">
        <v>8</v>
      </c>
      <c r="E82" s="158" t="s">
        <v>13</v>
      </c>
      <c r="F82" s="158">
        <v>6</v>
      </c>
      <c r="G82" s="160">
        <v>0.0001462962962962963</v>
      </c>
      <c r="H82" s="160">
        <v>0.000350462962962963</v>
      </c>
      <c r="I82" s="160">
        <v>0.0005568287037037037</v>
      </c>
      <c r="J82" s="161">
        <v>0.0011881944444444444</v>
      </c>
      <c r="K82" s="161">
        <v>0.002022337962962963</v>
      </c>
      <c r="L82" s="176"/>
      <c r="M82" s="163"/>
      <c r="N82" s="163"/>
      <c r="O82" s="36"/>
    </row>
    <row r="83" spans="1:15" ht="12.75">
      <c r="A83" s="158">
        <v>35528</v>
      </c>
      <c r="B83" s="164" t="s">
        <v>108</v>
      </c>
      <c r="C83" s="158"/>
      <c r="D83" s="168" t="s">
        <v>8</v>
      </c>
      <c r="E83" s="158" t="s">
        <v>13</v>
      </c>
      <c r="F83" s="158" t="s">
        <v>15</v>
      </c>
      <c r="G83" s="165"/>
      <c r="H83" s="165"/>
      <c r="I83" s="165">
        <v>0.0005733796296296296</v>
      </c>
      <c r="J83" s="162">
        <v>0.001195949074074074</v>
      </c>
      <c r="K83" s="162"/>
      <c r="L83" s="162"/>
      <c r="M83" s="163"/>
      <c r="N83" s="163"/>
      <c r="O83" s="36"/>
    </row>
    <row r="84" spans="1:15" ht="12.75">
      <c r="A84" s="158">
        <v>35194</v>
      </c>
      <c r="B84" s="164" t="s">
        <v>111</v>
      </c>
      <c r="C84" s="158"/>
      <c r="D84" s="158" t="s">
        <v>8</v>
      </c>
      <c r="E84" s="158" t="s">
        <v>13</v>
      </c>
      <c r="F84" s="158" t="s">
        <v>15</v>
      </c>
      <c r="G84" s="165"/>
      <c r="H84" s="165"/>
      <c r="I84" s="165">
        <v>0.0005747685185185185</v>
      </c>
      <c r="J84" s="162">
        <v>0.0011671296296296297</v>
      </c>
      <c r="K84" s="162"/>
      <c r="L84" s="162"/>
      <c r="M84" s="163"/>
      <c r="N84" s="163"/>
      <c r="O84" s="36"/>
    </row>
    <row r="85" spans="1:38" s="14" customFormat="1" ht="11.25">
      <c r="A85" s="168">
        <v>35349</v>
      </c>
      <c r="B85" s="167" t="s">
        <v>24</v>
      </c>
      <c r="C85" s="168"/>
      <c r="D85" s="168" t="s">
        <v>8</v>
      </c>
      <c r="E85" s="168" t="s">
        <v>25</v>
      </c>
      <c r="F85" s="168">
        <v>2</v>
      </c>
      <c r="G85" s="173"/>
      <c r="H85" s="173"/>
      <c r="I85" s="173">
        <v>0.0004880787037037037</v>
      </c>
      <c r="J85" s="174">
        <v>0.000986574074074074</v>
      </c>
      <c r="K85" s="174">
        <v>0.001560648148148148</v>
      </c>
      <c r="L85" s="174">
        <v>0.0033805555555555555</v>
      </c>
      <c r="M85" s="175">
        <v>0.006000231481481481</v>
      </c>
      <c r="N85" s="175"/>
      <c r="O85" s="29"/>
      <c r="Q85" s="32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</row>
    <row r="86" spans="1:15" s="14" customFormat="1" ht="11.25">
      <c r="A86" s="170">
        <v>35092</v>
      </c>
      <c r="B86" s="167" t="s">
        <v>46</v>
      </c>
      <c r="C86" s="170"/>
      <c r="D86" s="170" t="s">
        <v>8</v>
      </c>
      <c r="E86" s="170" t="s">
        <v>25</v>
      </c>
      <c r="F86" s="170">
        <v>4</v>
      </c>
      <c r="G86" s="160">
        <v>0.0001398148148148148</v>
      </c>
      <c r="H86" s="160">
        <v>0.0003429398148148148</v>
      </c>
      <c r="I86" s="160">
        <v>0.0005281250000000001</v>
      </c>
      <c r="J86" s="161" t="s">
        <v>47</v>
      </c>
      <c r="K86" s="161">
        <v>0.0016200231481481482</v>
      </c>
      <c r="L86" s="161">
        <v>0.0034400462962962965</v>
      </c>
      <c r="M86" s="171"/>
      <c r="N86" s="171"/>
      <c r="O86" s="41"/>
    </row>
    <row r="87" spans="1:38" s="14" customFormat="1" ht="11.25">
      <c r="A87" s="168">
        <v>35020</v>
      </c>
      <c r="B87" s="167" t="s">
        <v>38</v>
      </c>
      <c r="C87" s="168"/>
      <c r="D87" s="168" t="s">
        <v>8</v>
      </c>
      <c r="E87" s="168" t="s">
        <v>25</v>
      </c>
      <c r="F87" s="168">
        <v>4</v>
      </c>
      <c r="G87" s="173"/>
      <c r="H87" s="173"/>
      <c r="I87" s="173">
        <v>0.0005405092592592593</v>
      </c>
      <c r="J87" s="174">
        <v>0.0011086805555555557</v>
      </c>
      <c r="K87" s="174">
        <v>0.001665277777777778</v>
      </c>
      <c r="L87" s="174">
        <v>0.0036090277777777774</v>
      </c>
      <c r="M87" s="175"/>
      <c r="N87" s="175">
        <v>0.01276724537037037</v>
      </c>
      <c r="O87" s="29"/>
      <c r="Q87" s="32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</row>
    <row r="88" spans="1:38" s="14" customFormat="1" ht="11.25">
      <c r="A88" s="168">
        <v>35031</v>
      </c>
      <c r="B88" s="167" t="s">
        <v>71</v>
      </c>
      <c r="C88" s="168"/>
      <c r="D88" s="168" t="s">
        <v>8</v>
      </c>
      <c r="E88" s="168" t="s">
        <v>25</v>
      </c>
      <c r="F88" s="168">
        <v>5</v>
      </c>
      <c r="G88" s="173"/>
      <c r="H88" s="173"/>
      <c r="I88" s="173">
        <v>0.0005689814814814814</v>
      </c>
      <c r="J88" s="174">
        <v>0.0011038194444444444</v>
      </c>
      <c r="K88" s="174"/>
      <c r="L88" s="174"/>
      <c r="M88" s="175"/>
      <c r="N88" s="175"/>
      <c r="O88" s="29"/>
      <c r="Q88" s="32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</row>
    <row r="89" spans="1:15" ht="12.75">
      <c r="A89" s="158">
        <v>35573</v>
      </c>
      <c r="B89" s="164" t="s">
        <v>78</v>
      </c>
      <c r="C89" s="158"/>
      <c r="D89" s="158" t="s">
        <v>8</v>
      </c>
      <c r="E89" s="158" t="s">
        <v>25</v>
      </c>
      <c r="F89" s="158" t="s">
        <v>15</v>
      </c>
      <c r="G89" s="160"/>
      <c r="H89" s="160"/>
      <c r="I89" s="160">
        <v>0.0005899305555555556</v>
      </c>
      <c r="J89" s="161">
        <v>0.0012248842592592593</v>
      </c>
      <c r="K89" s="161"/>
      <c r="L89" s="161"/>
      <c r="M89" s="163"/>
      <c r="N89" s="163"/>
      <c r="O89" s="36"/>
    </row>
    <row r="90" spans="1:15" ht="12.75">
      <c r="A90" s="158">
        <v>35197</v>
      </c>
      <c r="B90" s="164" t="s">
        <v>90</v>
      </c>
      <c r="C90" s="158"/>
      <c r="D90" s="168" t="s">
        <v>8</v>
      </c>
      <c r="E90" s="168" t="s">
        <v>25</v>
      </c>
      <c r="F90" s="158">
        <v>6</v>
      </c>
      <c r="G90" s="160">
        <v>0.00015081018518518517</v>
      </c>
      <c r="H90" s="160">
        <v>0.0003791666666666666</v>
      </c>
      <c r="I90" s="160">
        <v>0.0006068287037037037</v>
      </c>
      <c r="J90" s="161">
        <v>0.0012643518518518518</v>
      </c>
      <c r="K90" s="161">
        <v>0.002030208333333333</v>
      </c>
      <c r="L90" s="161"/>
      <c r="M90" s="163"/>
      <c r="N90" s="163"/>
      <c r="O90" s="36"/>
    </row>
    <row r="91" spans="1:15" ht="12.75">
      <c r="A91" s="158">
        <v>35592</v>
      </c>
      <c r="B91" s="164" t="s">
        <v>146</v>
      </c>
      <c r="C91" s="158"/>
      <c r="D91" s="158" t="s">
        <v>8</v>
      </c>
      <c r="E91" s="158" t="s">
        <v>25</v>
      </c>
      <c r="F91" s="158" t="s">
        <v>15</v>
      </c>
      <c r="G91" s="158"/>
      <c r="H91" s="177"/>
      <c r="I91" s="165">
        <v>0.0006634259259259259</v>
      </c>
      <c r="J91" s="162">
        <v>0.0013875</v>
      </c>
      <c r="K91" s="162"/>
      <c r="L91" s="162"/>
      <c r="M91" s="163"/>
      <c r="N91" s="163"/>
      <c r="O91" s="36"/>
    </row>
    <row r="92" spans="1:15" ht="12.75">
      <c r="A92" s="158">
        <v>35433</v>
      </c>
      <c r="B92" s="164" t="s">
        <v>159</v>
      </c>
      <c r="C92" s="158"/>
      <c r="D92" s="168" t="s">
        <v>8</v>
      </c>
      <c r="E92" s="168" t="s">
        <v>25</v>
      </c>
      <c r="F92" s="158" t="s">
        <v>15</v>
      </c>
      <c r="G92" s="160"/>
      <c r="H92" s="160"/>
      <c r="I92" s="160">
        <v>0.0006871527777777777</v>
      </c>
      <c r="J92" s="161">
        <v>0.0014210648148148145</v>
      </c>
      <c r="K92" s="161"/>
      <c r="L92" s="161"/>
      <c r="M92" s="163"/>
      <c r="N92" s="163"/>
      <c r="O92" s="36"/>
    </row>
    <row r="93" spans="1:15" ht="12.75">
      <c r="A93" s="158">
        <v>35373</v>
      </c>
      <c r="B93" s="164" t="s">
        <v>153</v>
      </c>
      <c r="C93" s="158"/>
      <c r="D93" s="158" t="s">
        <v>8</v>
      </c>
      <c r="E93" s="158" t="s">
        <v>25</v>
      </c>
      <c r="F93" s="158" t="s">
        <v>15</v>
      </c>
      <c r="G93" s="165"/>
      <c r="H93" s="165"/>
      <c r="I93" s="162">
        <v>0.0006978009259259259</v>
      </c>
      <c r="J93" s="162">
        <v>0.0014012731481481482</v>
      </c>
      <c r="K93" s="162"/>
      <c r="L93" s="162"/>
      <c r="M93" s="163"/>
      <c r="N93" s="163"/>
      <c r="O93" s="36"/>
    </row>
    <row r="94" spans="1:15" ht="12.75">
      <c r="A94" s="158">
        <v>35453</v>
      </c>
      <c r="B94" s="164" t="s">
        <v>154</v>
      </c>
      <c r="C94" s="158"/>
      <c r="D94" s="168" t="s">
        <v>8</v>
      </c>
      <c r="E94" s="168" t="s">
        <v>25</v>
      </c>
      <c r="F94" s="158" t="s">
        <v>15</v>
      </c>
      <c r="G94" s="165"/>
      <c r="H94" s="165"/>
      <c r="I94" s="162">
        <v>0.0007182870370370371</v>
      </c>
      <c r="J94" s="162">
        <v>0.001605902777777778</v>
      </c>
      <c r="K94" s="162"/>
      <c r="L94" s="162"/>
      <c r="M94" s="163"/>
      <c r="N94" s="163"/>
      <c r="O94" s="36"/>
    </row>
    <row r="95" spans="1:15" ht="12.75">
      <c r="A95" s="158">
        <v>35577</v>
      </c>
      <c r="B95" s="164" t="s">
        <v>158</v>
      </c>
      <c r="C95" s="158"/>
      <c r="D95" s="158" t="s">
        <v>8</v>
      </c>
      <c r="E95" s="158" t="s">
        <v>25</v>
      </c>
      <c r="F95" s="158" t="s">
        <v>15</v>
      </c>
      <c r="G95" s="165"/>
      <c r="H95" s="165"/>
      <c r="I95" s="162">
        <v>0.0009230324074074075</v>
      </c>
      <c r="J95" s="162"/>
      <c r="K95" s="162"/>
      <c r="L95" s="162"/>
      <c r="M95" s="163"/>
      <c r="N95" s="163"/>
      <c r="O95" s="36"/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K95"/>
  <sheetViews>
    <sheetView workbookViewId="0" topLeftCell="A1">
      <pane xSplit="4" ySplit="3" topLeftCell="E37" activePane="bottomRight" state="frozen"/>
      <selection pane="topLeft" activeCell="A1" sqref="A1"/>
      <selection pane="topRight" activeCell="G1" sqref="G1"/>
      <selection pane="bottomLeft" activeCell="A4" sqref="A4"/>
      <selection pane="bottomRight" activeCell="Z65" sqref="Z65"/>
    </sheetView>
  </sheetViews>
  <sheetFormatPr defaultColWidth="9.140625" defaultRowHeight="12.75"/>
  <cols>
    <col min="1" max="1" width="17.28125" style="33" customWidth="1"/>
    <col min="2" max="2" width="4.57421875" style="1" customWidth="1"/>
    <col min="3" max="3" width="6.421875" style="1" customWidth="1"/>
    <col min="4" max="4" width="4.140625" style="1" customWidth="1"/>
    <col min="5" max="20" width="5.140625" style="74" customWidth="1"/>
    <col min="21" max="21" width="5.57421875" style="182" customWidth="1"/>
    <col min="22" max="22" width="5.140625" style="11" customWidth="1"/>
    <col min="23" max="16384" width="9.140625" style="11" customWidth="1"/>
  </cols>
  <sheetData>
    <row r="1" spans="5:23" ht="12.75">
      <c r="E1" s="205">
        <v>100</v>
      </c>
      <c r="F1" s="205"/>
      <c r="G1" s="205">
        <v>300</v>
      </c>
      <c r="H1" s="210"/>
      <c r="I1" s="205">
        <v>500</v>
      </c>
      <c r="J1" s="210"/>
      <c r="K1" s="205">
        <v>1000</v>
      </c>
      <c r="L1" s="210"/>
      <c r="M1" s="205">
        <v>1500</v>
      </c>
      <c r="N1" s="210"/>
      <c r="O1" s="205">
        <v>3000</v>
      </c>
      <c r="P1" s="210"/>
      <c r="Q1" s="205">
        <v>5000</v>
      </c>
      <c r="R1" s="210"/>
      <c r="S1" s="205">
        <v>10000</v>
      </c>
      <c r="T1" s="206"/>
      <c r="U1" s="207" t="s">
        <v>269</v>
      </c>
      <c r="V1" s="209" t="s">
        <v>270</v>
      </c>
      <c r="W1" s="209" t="s">
        <v>271</v>
      </c>
    </row>
    <row r="2" spans="1:37" ht="11.25">
      <c r="A2" s="3" t="s">
        <v>0</v>
      </c>
      <c r="B2" s="2"/>
      <c r="C2" s="4" t="s">
        <v>2</v>
      </c>
      <c r="D2" s="4" t="s">
        <v>3</v>
      </c>
      <c r="E2" s="152" t="s">
        <v>272</v>
      </c>
      <c r="F2" s="152">
        <v>100</v>
      </c>
      <c r="G2" s="152" t="s">
        <v>272</v>
      </c>
      <c r="H2" s="152">
        <v>300</v>
      </c>
      <c r="I2" s="152" t="s">
        <v>272</v>
      </c>
      <c r="J2" s="152">
        <v>500</v>
      </c>
      <c r="K2" s="152" t="s">
        <v>272</v>
      </c>
      <c r="L2" s="152">
        <v>1000</v>
      </c>
      <c r="M2" s="152" t="s">
        <v>272</v>
      </c>
      <c r="N2" s="152">
        <v>1500</v>
      </c>
      <c r="O2" s="152" t="s">
        <v>272</v>
      </c>
      <c r="P2" s="152">
        <v>3000</v>
      </c>
      <c r="Q2" s="152" t="s">
        <v>272</v>
      </c>
      <c r="R2" s="152">
        <v>5000</v>
      </c>
      <c r="S2" s="152" t="s">
        <v>272</v>
      </c>
      <c r="T2" s="178">
        <v>10000</v>
      </c>
      <c r="U2" s="208"/>
      <c r="V2" s="208"/>
      <c r="W2" s="208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</row>
    <row r="3" spans="1:37" ht="11.25">
      <c r="A3" s="3"/>
      <c r="B3" s="2"/>
      <c r="C3" s="12"/>
      <c r="D3" s="12"/>
      <c r="E3" s="152" t="s">
        <v>6</v>
      </c>
      <c r="F3" s="152" t="s">
        <v>5</v>
      </c>
      <c r="G3" s="152" t="s">
        <v>6</v>
      </c>
      <c r="H3" s="152" t="s">
        <v>5</v>
      </c>
      <c r="I3" s="152" t="s">
        <v>6</v>
      </c>
      <c r="J3" s="152" t="s">
        <v>5</v>
      </c>
      <c r="K3" s="152" t="s">
        <v>6</v>
      </c>
      <c r="L3" s="152" t="s">
        <v>5</v>
      </c>
      <c r="M3" s="152" t="s">
        <v>6</v>
      </c>
      <c r="N3" s="152" t="s">
        <v>5</v>
      </c>
      <c r="O3" s="152" t="s">
        <v>6</v>
      </c>
      <c r="P3" s="152" t="s">
        <v>5</v>
      </c>
      <c r="Q3" s="152" t="s">
        <v>6</v>
      </c>
      <c r="R3" s="152" t="s">
        <v>5</v>
      </c>
      <c r="S3" s="152" t="s">
        <v>6</v>
      </c>
      <c r="T3" s="179" t="s">
        <v>5</v>
      </c>
      <c r="U3" s="208"/>
      <c r="V3" s="208"/>
      <c r="W3" s="208"/>
      <c r="X3" s="5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</row>
    <row r="4" spans="1:23" ht="11.25">
      <c r="A4" s="53" t="s">
        <v>157</v>
      </c>
      <c r="B4" s="1" t="s">
        <v>41</v>
      </c>
      <c r="C4" s="1" t="s">
        <v>53</v>
      </c>
      <c r="D4" s="1">
        <v>4</v>
      </c>
      <c r="E4" s="54">
        <v>0</v>
      </c>
      <c r="F4" s="54">
        <v>0</v>
      </c>
      <c r="G4" s="54">
        <v>0</v>
      </c>
      <c r="H4" s="54">
        <v>0</v>
      </c>
      <c r="I4" s="54">
        <v>0</v>
      </c>
      <c r="J4" s="54">
        <v>0</v>
      </c>
      <c r="K4" s="54">
        <v>0</v>
      </c>
      <c r="L4" s="54">
        <v>0</v>
      </c>
      <c r="M4" s="74">
        <v>1</v>
      </c>
      <c r="N4" s="74">
        <v>1</v>
      </c>
      <c r="O4" s="74">
        <v>0</v>
      </c>
      <c r="P4" s="74">
        <v>0</v>
      </c>
      <c r="Q4" s="74">
        <v>0</v>
      </c>
      <c r="R4" s="74">
        <v>0</v>
      </c>
      <c r="S4" s="74">
        <v>0</v>
      </c>
      <c r="T4" s="180">
        <v>0</v>
      </c>
      <c r="U4" s="180">
        <f aca="true" t="shared" si="0" ref="U4:U35">SUM(E4,G4,I4,K4,M4,O4,Q4,S4)</f>
        <v>1</v>
      </c>
      <c r="V4" s="180">
        <f aca="true" t="shared" si="1" ref="V4:V35">SUM(F4,H4,J4,L4,N4,P4,R4,T4)</f>
        <v>1</v>
      </c>
      <c r="W4" s="181">
        <f aca="true" t="shared" si="2" ref="W4:W35">SUM(V4/U4)</f>
        <v>1</v>
      </c>
    </row>
    <row r="5" spans="1:23" ht="11.25">
      <c r="A5" s="16" t="s">
        <v>168</v>
      </c>
      <c r="B5" s="15" t="s">
        <v>41</v>
      </c>
      <c r="C5" s="15" t="s">
        <v>114</v>
      </c>
      <c r="D5" s="15" t="s">
        <v>163</v>
      </c>
      <c r="E5" s="74">
        <v>1</v>
      </c>
      <c r="F5" s="54">
        <v>1</v>
      </c>
      <c r="G5" s="74">
        <v>1</v>
      </c>
      <c r="H5" s="54">
        <v>1</v>
      </c>
      <c r="I5" s="180"/>
      <c r="J5" s="54"/>
      <c r="U5" s="180">
        <f t="shared" si="0"/>
        <v>2</v>
      </c>
      <c r="V5" s="180">
        <f t="shared" si="1"/>
        <v>2</v>
      </c>
      <c r="W5" s="181">
        <f t="shared" si="2"/>
        <v>1</v>
      </c>
    </row>
    <row r="6" spans="1:23" ht="11.25">
      <c r="A6" s="16" t="s">
        <v>170</v>
      </c>
      <c r="B6" s="15" t="s">
        <v>41</v>
      </c>
      <c r="C6" s="15" t="s">
        <v>114</v>
      </c>
      <c r="D6" s="15" t="s">
        <v>163</v>
      </c>
      <c r="E6" s="74">
        <v>1</v>
      </c>
      <c r="F6" s="54">
        <v>1</v>
      </c>
      <c r="G6" s="74">
        <v>1</v>
      </c>
      <c r="H6" s="54">
        <v>1</v>
      </c>
      <c r="I6" s="180"/>
      <c r="J6" s="54"/>
      <c r="U6" s="180">
        <f t="shared" si="0"/>
        <v>2</v>
      </c>
      <c r="V6" s="180">
        <f t="shared" si="1"/>
        <v>2</v>
      </c>
      <c r="W6" s="181">
        <f t="shared" si="2"/>
        <v>1</v>
      </c>
    </row>
    <row r="7" spans="1:23" ht="11.25">
      <c r="A7" s="16" t="s">
        <v>171</v>
      </c>
      <c r="B7" s="15" t="s">
        <v>8</v>
      </c>
      <c r="C7" s="15" t="s">
        <v>114</v>
      </c>
      <c r="D7" s="15" t="s">
        <v>163</v>
      </c>
      <c r="E7" s="74">
        <v>1</v>
      </c>
      <c r="F7" s="54">
        <v>1</v>
      </c>
      <c r="G7" s="74">
        <v>1</v>
      </c>
      <c r="H7" s="54">
        <v>1</v>
      </c>
      <c r="I7" s="180"/>
      <c r="J7" s="54"/>
      <c r="U7" s="180">
        <f t="shared" si="0"/>
        <v>2</v>
      </c>
      <c r="V7" s="180">
        <f t="shared" si="1"/>
        <v>2</v>
      </c>
      <c r="W7" s="181">
        <f t="shared" si="2"/>
        <v>1</v>
      </c>
    </row>
    <row r="8" spans="1:23" ht="11.25">
      <c r="A8" s="16" t="s">
        <v>172</v>
      </c>
      <c r="B8" s="15" t="s">
        <v>8</v>
      </c>
      <c r="C8" s="15" t="s">
        <v>114</v>
      </c>
      <c r="D8" s="15" t="s">
        <v>163</v>
      </c>
      <c r="E8" s="74">
        <v>1</v>
      </c>
      <c r="F8" s="54">
        <v>1</v>
      </c>
      <c r="G8" s="74">
        <v>1</v>
      </c>
      <c r="H8" s="54">
        <v>1</v>
      </c>
      <c r="I8" s="180"/>
      <c r="J8" s="54"/>
      <c r="U8" s="180">
        <f t="shared" si="0"/>
        <v>2</v>
      </c>
      <c r="V8" s="180">
        <f t="shared" si="1"/>
        <v>2</v>
      </c>
      <c r="W8" s="181">
        <f t="shared" si="2"/>
        <v>1</v>
      </c>
    </row>
    <row r="9" spans="1:23" ht="11.25">
      <c r="A9" s="16" t="s">
        <v>162</v>
      </c>
      <c r="B9" s="15" t="s">
        <v>8</v>
      </c>
      <c r="C9" s="15" t="s">
        <v>114</v>
      </c>
      <c r="D9" s="15" t="s">
        <v>163</v>
      </c>
      <c r="E9" s="74">
        <v>1</v>
      </c>
      <c r="F9" s="54">
        <v>1</v>
      </c>
      <c r="H9" s="54"/>
      <c r="I9" s="74">
        <v>1</v>
      </c>
      <c r="J9" s="54">
        <v>1</v>
      </c>
      <c r="U9" s="180">
        <f t="shared" si="0"/>
        <v>2</v>
      </c>
      <c r="V9" s="180">
        <f t="shared" si="1"/>
        <v>2</v>
      </c>
      <c r="W9" s="181">
        <f t="shared" si="2"/>
        <v>1</v>
      </c>
    </row>
    <row r="10" spans="1:23" ht="11.25">
      <c r="A10" s="16" t="s">
        <v>164</v>
      </c>
      <c r="B10" s="15" t="s">
        <v>8</v>
      </c>
      <c r="C10" s="15" t="s">
        <v>114</v>
      </c>
      <c r="D10" s="15" t="s">
        <v>163</v>
      </c>
      <c r="E10" s="74">
        <v>1</v>
      </c>
      <c r="F10" s="54">
        <v>1</v>
      </c>
      <c r="H10" s="54"/>
      <c r="I10" s="74">
        <v>1</v>
      </c>
      <c r="J10" s="54">
        <v>1</v>
      </c>
      <c r="U10" s="180">
        <f t="shared" si="0"/>
        <v>2</v>
      </c>
      <c r="V10" s="180">
        <f t="shared" si="1"/>
        <v>2</v>
      </c>
      <c r="W10" s="181">
        <f t="shared" si="2"/>
        <v>1</v>
      </c>
    </row>
    <row r="11" spans="1:23" ht="11.25">
      <c r="A11" s="33" t="s">
        <v>126</v>
      </c>
      <c r="B11" s="1" t="s">
        <v>8</v>
      </c>
      <c r="C11" s="1" t="s">
        <v>97</v>
      </c>
      <c r="D11" s="1">
        <v>4</v>
      </c>
      <c r="E11" s="74">
        <v>4</v>
      </c>
      <c r="F11" s="54">
        <v>4</v>
      </c>
      <c r="G11" s="74">
        <v>4</v>
      </c>
      <c r="H11" s="54">
        <v>3</v>
      </c>
      <c r="I11" s="74">
        <v>5</v>
      </c>
      <c r="J11" s="54">
        <v>4</v>
      </c>
      <c r="K11" s="74">
        <v>1</v>
      </c>
      <c r="L11" s="74">
        <v>1</v>
      </c>
      <c r="M11" s="74">
        <v>0</v>
      </c>
      <c r="N11" s="74">
        <v>0</v>
      </c>
      <c r="O11" s="74">
        <v>0</v>
      </c>
      <c r="P11" s="74">
        <v>0</v>
      </c>
      <c r="Q11" s="74">
        <v>0</v>
      </c>
      <c r="R11" s="74">
        <v>0</v>
      </c>
      <c r="S11" s="74">
        <v>0</v>
      </c>
      <c r="T11" s="180">
        <v>0</v>
      </c>
      <c r="U11" s="180">
        <f t="shared" si="0"/>
        <v>14</v>
      </c>
      <c r="V11" s="180">
        <f t="shared" si="1"/>
        <v>12</v>
      </c>
      <c r="W11" s="181">
        <f t="shared" si="2"/>
        <v>0.8571428571428571</v>
      </c>
    </row>
    <row r="12" spans="1:23" ht="11.25">
      <c r="A12" s="62" t="s">
        <v>135</v>
      </c>
      <c r="B12" s="1" t="s">
        <v>8</v>
      </c>
      <c r="C12" s="1" t="s">
        <v>97</v>
      </c>
      <c r="D12" s="1">
        <v>3</v>
      </c>
      <c r="E12" s="54">
        <v>5</v>
      </c>
      <c r="F12" s="54">
        <v>4</v>
      </c>
      <c r="G12" s="54">
        <v>4</v>
      </c>
      <c r="H12" s="54">
        <v>4</v>
      </c>
      <c r="I12" s="54">
        <v>8</v>
      </c>
      <c r="J12" s="54">
        <v>6</v>
      </c>
      <c r="K12" s="54">
        <v>1</v>
      </c>
      <c r="L12" s="54">
        <v>1</v>
      </c>
      <c r="M12" s="74">
        <v>0</v>
      </c>
      <c r="N12" s="74">
        <v>0</v>
      </c>
      <c r="O12" s="74">
        <v>0</v>
      </c>
      <c r="P12" s="74">
        <v>0</v>
      </c>
      <c r="Q12" s="74">
        <v>0</v>
      </c>
      <c r="R12" s="74">
        <v>0</v>
      </c>
      <c r="S12" s="74">
        <v>0</v>
      </c>
      <c r="T12" s="180">
        <v>0</v>
      </c>
      <c r="U12" s="180">
        <f t="shared" si="0"/>
        <v>18</v>
      </c>
      <c r="V12" s="180">
        <f t="shared" si="1"/>
        <v>15</v>
      </c>
      <c r="W12" s="181">
        <f t="shared" si="2"/>
        <v>0.8333333333333334</v>
      </c>
    </row>
    <row r="13" spans="1:23" ht="11.25">
      <c r="A13" s="33" t="s">
        <v>94</v>
      </c>
      <c r="B13" s="1" t="s">
        <v>8</v>
      </c>
      <c r="C13" s="1" t="s">
        <v>53</v>
      </c>
      <c r="D13" s="1">
        <v>4</v>
      </c>
      <c r="E13" s="74">
        <v>2</v>
      </c>
      <c r="F13" s="54">
        <v>2</v>
      </c>
      <c r="G13" s="74">
        <v>5</v>
      </c>
      <c r="H13" s="54">
        <v>3</v>
      </c>
      <c r="I13" s="74">
        <v>2</v>
      </c>
      <c r="J13" s="54">
        <v>2</v>
      </c>
      <c r="K13" s="74">
        <v>1</v>
      </c>
      <c r="L13" s="74">
        <v>1</v>
      </c>
      <c r="M13" s="74">
        <v>0</v>
      </c>
      <c r="N13" s="74">
        <v>0</v>
      </c>
      <c r="O13" s="74">
        <v>0</v>
      </c>
      <c r="P13" s="74">
        <v>0</v>
      </c>
      <c r="Q13" s="74">
        <v>0</v>
      </c>
      <c r="R13" s="74">
        <v>0</v>
      </c>
      <c r="S13" s="74">
        <v>0</v>
      </c>
      <c r="T13" s="180">
        <v>0</v>
      </c>
      <c r="U13" s="180">
        <f t="shared" si="0"/>
        <v>10</v>
      </c>
      <c r="V13" s="180">
        <f t="shared" si="1"/>
        <v>8</v>
      </c>
      <c r="W13" s="181">
        <f t="shared" si="2"/>
        <v>0.8</v>
      </c>
    </row>
    <row r="14" spans="1:23" ht="11.25">
      <c r="A14" s="33" t="s">
        <v>146</v>
      </c>
      <c r="B14" s="1" t="s">
        <v>8</v>
      </c>
      <c r="C14" s="1" t="s">
        <v>25</v>
      </c>
      <c r="D14" s="1" t="s">
        <v>15</v>
      </c>
      <c r="F14" s="54"/>
      <c r="G14" s="54"/>
      <c r="H14" s="54"/>
      <c r="I14" s="180">
        <v>3</v>
      </c>
      <c r="J14" s="54">
        <v>3</v>
      </c>
      <c r="K14" s="74">
        <v>2</v>
      </c>
      <c r="L14" s="74">
        <v>1</v>
      </c>
      <c r="T14" s="180"/>
      <c r="U14" s="180">
        <f t="shared" si="0"/>
        <v>5</v>
      </c>
      <c r="V14" s="180">
        <f t="shared" si="1"/>
        <v>4</v>
      </c>
      <c r="W14" s="181">
        <f t="shared" si="2"/>
        <v>0.8</v>
      </c>
    </row>
    <row r="15" spans="1:23" ht="11.25">
      <c r="A15" s="33" t="s">
        <v>125</v>
      </c>
      <c r="B15" s="1" t="s">
        <v>8</v>
      </c>
      <c r="C15" s="1" t="s">
        <v>97</v>
      </c>
      <c r="D15" s="1">
        <v>3</v>
      </c>
      <c r="E15" s="74">
        <v>5</v>
      </c>
      <c r="F15" s="54">
        <v>4</v>
      </c>
      <c r="G15" s="74">
        <v>4</v>
      </c>
      <c r="H15" s="54">
        <v>3</v>
      </c>
      <c r="I15" s="74">
        <v>10</v>
      </c>
      <c r="J15" s="54">
        <v>7</v>
      </c>
      <c r="K15" s="74">
        <v>1</v>
      </c>
      <c r="L15" s="74">
        <v>1</v>
      </c>
      <c r="M15" s="74">
        <v>0</v>
      </c>
      <c r="N15" s="74">
        <v>0</v>
      </c>
      <c r="O15" s="74">
        <v>0</v>
      </c>
      <c r="P15" s="74">
        <v>0</v>
      </c>
      <c r="Q15" s="74">
        <v>0</v>
      </c>
      <c r="R15" s="74">
        <v>0</v>
      </c>
      <c r="S15" s="74">
        <v>0</v>
      </c>
      <c r="T15" s="180">
        <v>0</v>
      </c>
      <c r="U15" s="180">
        <f t="shared" si="0"/>
        <v>20</v>
      </c>
      <c r="V15" s="180">
        <f t="shared" si="1"/>
        <v>15</v>
      </c>
      <c r="W15" s="181">
        <f t="shared" si="2"/>
        <v>0.75</v>
      </c>
    </row>
    <row r="16" spans="1:23" ht="11.25">
      <c r="A16" s="33" t="s">
        <v>130</v>
      </c>
      <c r="B16" s="1" t="s">
        <v>41</v>
      </c>
      <c r="C16" s="1" t="s">
        <v>97</v>
      </c>
      <c r="D16" s="1">
        <v>4</v>
      </c>
      <c r="E16" s="74">
        <v>3</v>
      </c>
      <c r="F16" s="54">
        <v>2</v>
      </c>
      <c r="G16" s="74">
        <v>4</v>
      </c>
      <c r="H16" s="54">
        <v>3</v>
      </c>
      <c r="I16" s="74">
        <v>4</v>
      </c>
      <c r="J16" s="54">
        <v>3</v>
      </c>
      <c r="K16" s="74">
        <v>1</v>
      </c>
      <c r="L16" s="74">
        <v>1</v>
      </c>
      <c r="M16" s="74">
        <v>0</v>
      </c>
      <c r="N16" s="74">
        <v>0</v>
      </c>
      <c r="O16" s="74">
        <v>0</v>
      </c>
      <c r="P16" s="74">
        <v>0</v>
      </c>
      <c r="Q16" s="74">
        <v>0</v>
      </c>
      <c r="R16" s="74">
        <v>0</v>
      </c>
      <c r="S16" s="74">
        <v>0</v>
      </c>
      <c r="T16" s="180">
        <v>0</v>
      </c>
      <c r="U16" s="180">
        <f t="shared" si="0"/>
        <v>12</v>
      </c>
      <c r="V16" s="180">
        <f t="shared" si="1"/>
        <v>9</v>
      </c>
      <c r="W16" s="181">
        <f t="shared" si="2"/>
        <v>0.75</v>
      </c>
    </row>
    <row r="17" spans="1:23" ht="11.25">
      <c r="A17" s="33" t="s">
        <v>137</v>
      </c>
      <c r="B17" s="1" t="s">
        <v>41</v>
      </c>
      <c r="C17" s="1" t="s">
        <v>97</v>
      </c>
      <c r="D17" s="1">
        <v>2</v>
      </c>
      <c r="E17" s="74">
        <v>5</v>
      </c>
      <c r="F17" s="54">
        <v>4</v>
      </c>
      <c r="G17" s="74">
        <v>7</v>
      </c>
      <c r="H17" s="54">
        <v>5</v>
      </c>
      <c r="I17" s="74">
        <v>10</v>
      </c>
      <c r="J17" s="54">
        <v>7</v>
      </c>
      <c r="K17" s="74">
        <v>1</v>
      </c>
      <c r="L17" s="74">
        <v>1</v>
      </c>
      <c r="M17" s="74">
        <v>0</v>
      </c>
      <c r="N17" s="74">
        <v>0</v>
      </c>
      <c r="O17" s="74">
        <v>0</v>
      </c>
      <c r="P17" s="74">
        <v>0</v>
      </c>
      <c r="Q17" s="74">
        <v>0</v>
      </c>
      <c r="R17" s="74">
        <v>0</v>
      </c>
      <c r="S17" s="74">
        <v>0</v>
      </c>
      <c r="T17" s="180">
        <v>0</v>
      </c>
      <c r="U17" s="180">
        <f t="shared" si="0"/>
        <v>23</v>
      </c>
      <c r="V17" s="180">
        <f t="shared" si="1"/>
        <v>17</v>
      </c>
      <c r="W17" s="181">
        <f t="shared" si="2"/>
        <v>0.7391304347826086</v>
      </c>
    </row>
    <row r="18" spans="1:23" ht="11.25">
      <c r="A18" s="33" t="s">
        <v>116</v>
      </c>
      <c r="B18" s="1" t="s">
        <v>8</v>
      </c>
      <c r="C18" s="1" t="s">
        <v>53</v>
      </c>
      <c r="D18" s="1">
        <v>3</v>
      </c>
      <c r="E18" s="54">
        <v>2</v>
      </c>
      <c r="F18" s="54">
        <v>1</v>
      </c>
      <c r="G18" s="54">
        <v>3</v>
      </c>
      <c r="H18" s="54">
        <v>2</v>
      </c>
      <c r="I18" s="74">
        <v>12</v>
      </c>
      <c r="J18" s="54">
        <v>9</v>
      </c>
      <c r="K18" s="74">
        <v>2</v>
      </c>
      <c r="L18" s="74">
        <v>2</v>
      </c>
      <c r="M18" s="74">
        <v>0</v>
      </c>
      <c r="N18" s="74">
        <v>0</v>
      </c>
      <c r="O18" s="74">
        <v>0</v>
      </c>
      <c r="P18" s="74">
        <v>0</v>
      </c>
      <c r="Q18" s="74">
        <v>0</v>
      </c>
      <c r="R18" s="74">
        <v>0</v>
      </c>
      <c r="S18" s="74">
        <v>0</v>
      </c>
      <c r="T18" s="180">
        <v>0</v>
      </c>
      <c r="U18" s="180">
        <f t="shared" si="0"/>
        <v>19</v>
      </c>
      <c r="V18" s="180">
        <f t="shared" si="1"/>
        <v>14</v>
      </c>
      <c r="W18" s="181">
        <f t="shared" si="2"/>
        <v>0.7368421052631579</v>
      </c>
    </row>
    <row r="19" spans="1:23" ht="11.25">
      <c r="A19" s="62" t="s">
        <v>106</v>
      </c>
      <c r="B19" s="1" t="s">
        <v>8</v>
      </c>
      <c r="C19" s="1" t="s">
        <v>97</v>
      </c>
      <c r="D19" s="1">
        <v>1</v>
      </c>
      <c r="E19" s="54">
        <v>5</v>
      </c>
      <c r="F19" s="54">
        <v>3</v>
      </c>
      <c r="G19" s="54">
        <v>4</v>
      </c>
      <c r="H19" s="54">
        <v>3</v>
      </c>
      <c r="I19" s="54">
        <v>14</v>
      </c>
      <c r="J19" s="54">
        <v>10</v>
      </c>
      <c r="K19" s="54">
        <v>3</v>
      </c>
      <c r="L19" s="54">
        <v>3</v>
      </c>
      <c r="M19" s="74">
        <v>0</v>
      </c>
      <c r="N19" s="74">
        <v>0</v>
      </c>
      <c r="O19" s="74">
        <v>0</v>
      </c>
      <c r="P19" s="74">
        <v>0</v>
      </c>
      <c r="Q19" s="74">
        <v>0</v>
      </c>
      <c r="R19" s="74">
        <v>0</v>
      </c>
      <c r="S19" s="74">
        <v>0</v>
      </c>
      <c r="T19" s="180">
        <v>0</v>
      </c>
      <c r="U19" s="180">
        <f t="shared" si="0"/>
        <v>26</v>
      </c>
      <c r="V19" s="180">
        <f t="shared" si="1"/>
        <v>19</v>
      </c>
      <c r="W19" s="181">
        <f t="shared" si="2"/>
        <v>0.7307692307692307</v>
      </c>
    </row>
    <row r="20" spans="1:23" ht="11.25">
      <c r="A20" s="33" t="s">
        <v>124</v>
      </c>
      <c r="B20" s="1" t="s">
        <v>41</v>
      </c>
      <c r="C20" s="1" t="s">
        <v>97</v>
      </c>
      <c r="D20" s="1">
        <v>1</v>
      </c>
      <c r="E20" s="74">
        <v>3</v>
      </c>
      <c r="F20" s="54">
        <v>3</v>
      </c>
      <c r="G20" s="74">
        <v>3</v>
      </c>
      <c r="H20" s="54">
        <v>3</v>
      </c>
      <c r="I20" s="74">
        <v>11</v>
      </c>
      <c r="J20" s="54">
        <v>6</v>
      </c>
      <c r="K20" s="74">
        <v>3</v>
      </c>
      <c r="L20" s="74">
        <v>2</v>
      </c>
      <c r="M20" s="74">
        <v>0</v>
      </c>
      <c r="N20" s="74">
        <v>0</v>
      </c>
      <c r="O20" s="74">
        <v>0</v>
      </c>
      <c r="P20" s="74">
        <v>0</v>
      </c>
      <c r="Q20" s="74">
        <v>0</v>
      </c>
      <c r="R20" s="74">
        <v>0</v>
      </c>
      <c r="S20" s="74">
        <v>0</v>
      </c>
      <c r="T20" s="180">
        <v>0</v>
      </c>
      <c r="U20" s="180">
        <f t="shared" si="0"/>
        <v>20</v>
      </c>
      <c r="V20" s="180">
        <f t="shared" si="1"/>
        <v>14</v>
      </c>
      <c r="W20" s="181">
        <f t="shared" si="2"/>
        <v>0.7</v>
      </c>
    </row>
    <row r="21" spans="1:23" ht="11.25">
      <c r="A21" s="33" t="s">
        <v>50</v>
      </c>
      <c r="B21" s="1" t="s">
        <v>8</v>
      </c>
      <c r="C21" s="1" t="s">
        <v>53</v>
      </c>
      <c r="D21" s="1">
        <v>1</v>
      </c>
      <c r="E21" s="54">
        <v>1</v>
      </c>
      <c r="F21" s="54">
        <v>1</v>
      </c>
      <c r="G21" s="54">
        <v>1</v>
      </c>
      <c r="H21" s="54">
        <v>1</v>
      </c>
      <c r="I21" s="54">
        <v>11</v>
      </c>
      <c r="J21" s="54">
        <v>7</v>
      </c>
      <c r="K21" s="54">
        <v>5</v>
      </c>
      <c r="L21" s="54">
        <v>3</v>
      </c>
      <c r="M21" s="54">
        <v>4</v>
      </c>
      <c r="N21" s="54">
        <v>3</v>
      </c>
      <c r="O21" s="74">
        <v>0</v>
      </c>
      <c r="P21" s="74">
        <v>0</v>
      </c>
      <c r="Q21" s="74">
        <v>0</v>
      </c>
      <c r="R21" s="74">
        <v>0</v>
      </c>
      <c r="S21" s="74">
        <v>0</v>
      </c>
      <c r="T21" s="180">
        <v>0</v>
      </c>
      <c r="U21" s="180">
        <f t="shared" si="0"/>
        <v>22</v>
      </c>
      <c r="V21" s="180">
        <f t="shared" si="1"/>
        <v>15</v>
      </c>
      <c r="W21" s="181">
        <f t="shared" si="2"/>
        <v>0.6818181818181818</v>
      </c>
    </row>
    <row r="22" spans="1:23" ht="11.25">
      <c r="A22" s="33" t="s">
        <v>161</v>
      </c>
      <c r="B22" s="1" t="s">
        <v>41</v>
      </c>
      <c r="C22" s="1" t="s">
        <v>97</v>
      </c>
      <c r="D22" s="1">
        <v>4</v>
      </c>
      <c r="E22" s="74">
        <v>2</v>
      </c>
      <c r="F22" s="54">
        <v>2</v>
      </c>
      <c r="G22" s="74">
        <v>6</v>
      </c>
      <c r="H22" s="54">
        <v>3</v>
      </c>
      <c r="I22" s="74">
        <v>1</v>
      </c>
      <c r="J22" s="54">
        <v>1</v>
      </c>
      <c r="K22" s="74">
        <v>0</v>
      </c>
      <c r="L22" s="74">
        <v>0</v>
      </c>
      <c r="M22" s="74">
        <v>0</v>
      </c>
      <c r="N22" s="74">
        <v>0</v>
      </c>
      <c r="O22" s="74">
        <v>0</v>
      </c>
      <c r="P22" s="74">
        <v>0</v>
      </c>
      <c r="Q22" s="74">
        <v>0</v>
      </c>
      <c r="R22" s="74">
        <v>0</v>
      </c>
      <c r="S22" s="74">
        <v>0</v>
      </c>
      <c r="T22" s="180">
        <v>0</v>
      </c>
      <c r="U22" s="180">
        <f t="shared" si="0"/>
        <v>9</v>
      </c>
      <c r="V22" s="180">
        <f t="shared" si="1"/>
        <v>6</v>
      </c>
      <c r="W22" s="181">
        <f t="shared" si="2"/>
        <v>0.6666666666666666</v>
      </c>
    </row>
    <row r="23" spans="1:23" ht="11.25">
      <c r="A23" s="33" t="s">
        <v>145</v>
      </c>
      <c r="B23" s="1" t="s">
        <v>41</v>
      </c>
      <c r="C23" s="1" t="s">
        <v>97</v>
      </c>
      <c r="D23" s="1">
        <v>2</v>
      </c>
      <c r="E23" s="74">
        <v>2</v>
      </c>
      <c r="F23" s="54">
        <v>1</v>
      </c>
      <c r="G23" s="74">
        <v>3</v>
      </c>
      <c r="H23" s="54">
        <v>3</v>
      </c>
      <c r="I23" s="74">
        <v>8</v>
      </c>
      <c r="J23" s="54">
        <v>4</v>
      </c>
      <c r="K23" s="74">
        <v>2</v>
      </c>
      <c r="L23" s="74">
        <v>2</v>
      </c>
      <c r="M23" s="74">
        <v>0</v>
      </c>
      <c r="N23" s="74">
        <v>0</v>
      </c>
      <c r="O23" s="74">
        <v>0</v>
      </c>
      <c r="P23" s="74">
        <v>0</v>
      </c>
      <c r="Q23" s="74">
        <v>0</v>
      </c>
      <c r="R23" s="74">
        <v>0</v>
      </c>
      <c r="S23" s="74">
        <v>0</v>
      </c>
      <c r="T23" s="180">
        <v>0</v>
      </c>
      <c r="U23" s="180">
        <f t="shared" si="0"/>
        <v>15</v>
      </c>
      <c r="V23" s="180">
        <f t="shared" si="1"/>
        <v>10</v>
      </c>
      <c r="W23" s="181">
        <f t="shared" si="2"/>
        <v>0.6666666666666666</v>
      </c>
    </row>
    <row r="24" spans="1:23" ht="11.25">
      <c r="A24" s="53" t="s">
        <v>118</v>
      </c>
      <c r="B24" s="1" t="s">
        <v>41</v>
      </c>
      <c r="C24" s="1" t="s">
        <v>97</v>
      </c>
      <c r="D24" s="1">
        <v>1</v>
      </c>
      <c r="E24" s="54">
        <v>6</v>
      </c>
      <c r="F24" s="54">
        <v>5</v>
      </c>
      <c r="G24" s="54">
        <v>4</v>
      </c>
      <c r="H24" s="54">
        <v>4</v>
      </c>
      <c r="I24" s="54">
        <v>14</v>
      </c>
      <c r="J24" s="54">
        <v>6</v>
      </c>
      <c r="K24" s="54">
        <v>3</v>
      </c>
      <c r="L24" s="54">
        <v>3</v>
      </c>
      <c r="M24" s="74">
        <v>0</v>
      </c>
      <c r="N24" s="74">
        <v>0</v>
      </c>
      <c r="O24" s="74">
        <v>0</v>
      </c>
      <c r="P24" s="74">
        <v>0</v>
      </c>
      <c r="Q24" s="74">
        <v>0</v>
      </c>
      <c r="R24" s="74">
        <v>0</v>
      </c>
      <c r="S24" s="74">
        <v>0</v>
      </c>
      <c r="T24" s="180">
        <v>0</v>
      </c>
      <c r="U24" s="180">
        <f t="shared" si="0"/>
        <v>27</v>
      </c>
      <c r="V24" s="180">
        <f t="shared" si="1"/>
        <v>18</v>
      </c>
      <c r="W24" s="181">
        <f t="shared" si="2"/>
        <v>0.6666666666666666</v>
      </c>
    </row>
    <row r="25" spans="1:23" ht="11.25">
      <c r="A25" s="33" t="s">
        <v>143</v>
      </c>
      <c r="B25" s="1" t="s">
        <v>8</v>
      </c>
      <c r="C25" s="1" t="s">
        <v>97</v>
      </c>
      <c r="D25" s="1">
        <v>4</v>
      </c>
      <c r="E25" s="74">
        <v>3</v>
      </c>
      <c r="F25" s="54">
        <v>2</v>
      </c>
      <c r="G25" s="74">
        <v>4</v>
      </c>
      <c r="H25" s="54">
        <v>3</v>
      </c>
      <c r="I25" s="74">
        <v>6</v>
      </c>
      <c r="J25" s="54">
        <v>3</v>
      </c>
      <c r="K25" s="74">
        <v>1</v>
      </c>
      <c r="L25" s="74">
        <v>1</v>
      </c>
      <c r="M25" s="74">
        <v>0</v>
      </c>
      <c r="N25" s="74">
        <v>0</v>
      </c>
      <c r="O25" s="74">
        <v>0</v>
      </c>
      <c r="P25" s="74">
        <v>0</v>
      </c>
      <c r="Q25" s="74">
        <v>0</v>
      </c>
      <c r="R25" s="74">
        <v>0</v>
      </c>
      <c r="S25" s="74">
        <v>0</v>
      </c>
      <c r="T25" s="180">
        <v>0</v>
      </c>
      <c r="U25" s="180">
        <f t="shared" si="0"/>
        <v>14</v>
      </c>
      <c r="V25" s="180">
        <f t="shared" si="1"/>
        <v>9</v>
      </c>
      <c r="W25" s="181">
        <f t="shared" si="2"/>
        <v>0.6428571428571429</v>
      </c>
    </row>
    <row r="26" spans="1:23" ht="11.25">
      <c r="A26" s="33" t="s">
        <v>72</v>
      </c>
      <c r="B26" s="15" t="s">
        <v>8</v>
      </c>
      <c r="C26" s="1" t="s">
        <v>53</v>
      </c>
      <c r="D26" s="1">
        <v>2</v>
      </c>
      <c r="E26" s="54">
        <v>4</v>
      </c>
      <c r="F26" s="54">
        <v>1</v>
      </c>
      <c r="G26" s="54">
        <v>3</v>
      </c>
      <c r="H26" s="54">
        <v>3</v>
      </c>
      <c r="I26" s="54">
        <v>14</v>
      </c>
      <c r="J26" s="54">
        <v>8</v>
      </c>
      <c r="K26" s="54">
        <v>6</v>
      </c>
      <c r="L26" s="54">
        <v>5</v>
      </c>
      <c r="M26" s="74">
        <v>1</v>
      </c>
      <c r="N26" s="74">
        <v>1</v>
      </c>
      <c r="O26" s="74">
        <v>0</v>
      </c>
      <c r="P26" s="74">
        <v>0</v>
      </c>
      <c r="Q26" s="74">
        <v>0</v>
      </c>
      <c r="R26" s="74">
        <v>0</v>
      </c>
      <c r="S26" s="74">
        <v>0</v>
      </c>
      <c r="T26" s="180">
        <v>0</v>
      </c>
      <c r="U26" s="180">
        <f t="shared" si="0"/>
        <v>28</v>
      </c>
      <c r="V26" s="180">
        <f t="shared" si="1"/>
        <v>18</v>
      </c>
      <c r="W26" s="181">
        <f t="shared" si="2"/>
        <v>0.6428571428571429</v>
      </c>
    </row>
    <row r="27" spans="1:23" ht="11.25">
      <c r="A27" s="33" t="s">
        <v>54</v>
      </c>
      <c r="B27" s="1" t="s">
        <v>8</v>
      </c>
      <c r="C27" s="1" t="s">
        <v>53</v>
      </c>
      <c r="D27" s="1">
        <v>1</v>
      </c>
      <c r="E27" s="54">
        <v>4</v>
      </c>
      <c r="F27" s="54">
        <v>1</v>
      </c>
      <c r="G27" s="54">
        <v>4</v>
      </c>
      <c r="H27" s="54">
        <v>3</v>
      </c>
      <c r="I27" s="54">
        <v>14</v>
      </c>
      <c r="J27" s="54">
        <v>7</v>
      </c>
      <c r="K27" s="54">
        <v>5</v>
      </c>
      <c r="L27" s="54">
        <v>4</v>
      </c>
      <c r="M27" s="74">
        <v>4</v>
      </c>
      <c r="N27" s="74">
        <v>4</v>
      </c>
      <c r="O27" s="74">
        <v>0</v>
      </c>
      <c r="P27" s="74">
        <v>0</v>
      </c>
      <c r="Q27" s="74">
        <v>0</v>
      </c>
      <c r="R27" s="74">
        <v>0</v>
      </c>
      <c r="S27" s="74">
        <v>0</v>
      </c>
      <c r="T27" s="180">
        <v>0</v>
      </c>
      <c r="U27" s="180">
        <f t="shared" si="0"/>
        <v>31</v>
      </c>
      <c r="V27" s="180">
        <f t="shared" si="1"/>
        <v>19</v>
      </c>
      <c r="W27" s="181">
        <f t="shared" si="2"/>
        <v>0.6129032258064516</v>
      </c>
    </row>
    <row r="28" spans="1:23" ht="11.25">
      <c r="A28" s="33" t="s">
        <v>29</v>
      </c>
      <c r="B28" s="1" t="s">
        <v>8</v>
      </c>
      <c r="C28" s="1" t="s">
        <v>28</v>
      </c>
      <c r="D28" s="1">
        <v>1</v>
      </c>
      <c r="E28" s="54">
        <v>0</v>
      </c>
      <c r="F28" s="54">
        <v>0</v>
      </c>
      <c r="G28" s="54">
        <v>4</v>
      </c>
      <c r="H28" s="54">
        <v>2</v>
      </c>
      <c r="I28" s="54">
        <v>6</v>
      </c>
      <c r="J28" s="54">
        <v>3</v>
      </c>
      <c r="K28" s="54">
        <v>2</v>
      </c>
      <c r="L28" s="54">
        <v>1</v>
      </c>
      <c r="M28" s="54">
        <v>2</v>
      </c>
      <c r="N28" s="54">
        <v>2</v>
      </c>
      <c r="O28" s="74">
        <v>1</v>
      </c>
      <c r="P28" s="74">
        <v>1</v>
      </c>
      <c r="Q28" s="74">
        <v>0</v>
      </c>
      <c r="R28" s="74">
        <v>0</v>
      </c>
      <c r="S28" s="74">
        <v>0</v>
      </c>
      <c r="T28" s="180">
        <v>0</v>
      </c>
      <c r="U28" s="180">
        <f t="shared" si="0"/>
        <v>15</v>
      </c>
      <c r="V28" s="180">
        <f t="shared" si="1"/>
        <v>9</v>
      </c>
      <c r="W28" s="181">
        <f t="shared" si="2"/>
        <v>0.6</v>
      </c>
    </row>
    <row r="29" spans="1:37" s="14" customFormat="1" ht="11.25">
      <c r="A29" s="33" t="s">
        <v>82</v>
      </c>
      <c r="B29" s="15" t="s">
        <v>8</v>
      </c>
      <c r="C29" s="15" t="s">
        <v>53</v>
      </c>
      <c r="D29" s="1">
        <v>3</v>
      </c>
      <c r="E29" s="54">
        <v>1</v>
      </c>
      <c r="F29" s="54">
        <v>0</v>
      </c>
      <c r="G29" s="54">
        <v>1</v>
      </c>
      <c r="H29" s="54">
        <v>1</v>
      </c>
      <c r="I29" s="54">
        <v>9</v>
      </c>
      <c r="J29" s="54">
        <v>6</v>
      </c>
      <c r="K29" s="54">
        <v>5</v>
      </c>
      <c r="L29" s="54">
        <v>2</v>
      </c>
      <c r="M29" s="74">
        <v>1</v>
      </c>
      <c r="N29" s="74">
        <v>1</v>
      </c>
      <c r="O29" s="74">
        <v>0</v>
      </c>
      <c r="P29" s="74">
        <v>0</v>
      </c>
      <c r="Q29" s="74">
        <v>0</v>
      </c>
      <c r="R29" s="74">
        <v>0</v>
      </c>
      <c r="S29" s="74">
        <v>0</v>
      </c>
      <c r="T29" s="180">
        <v>0</v>
      </c>
      <c r="U29" s="180">
        <f t="shared" si="0"/>
        <v>17</v>
      </c>
      <c r="V29" s="180">
        <f t="shared" si="1"/>
        <v>10</v>
      </c>
      <c r="W29" s="181">
        <f t="shared" si="2"/>
        <v>0.5882352941176471</v>
      </c>
      <c r="X29" s="32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</row>
    <row r="30" spans="1:23" ht="11.25">
      <c r="A30" s="33" t="s">
        <v>144</v>
      </c>
      <c r="B30" s="1" t="s">
        <v>41</v>
      </c>
      <c r="C30" s="1" t="s">
        <v>97</v>
      </c>
      <c r="D30" s="1">
        <v>3</v>
      </c>
      <c r="E30" s="74">
        <v>4</v>
      </c>
      <c r="F30" s="54">
        <v>2</v>
      </c>
      <c r="G30" s="74">
        <v>5</v>
      </c>
      <c r="H30" s="54">
        <v>3</v>
      </c>
      <c r="I30" s="74">
        <v>9</v>
      </c>
      <c r="J30" s="54">
        <v>5</v>
      </c>
      <c r="K30" s="74">
        <v>1</v>
      </c>
      <c r="L30" s="74">
        <v>1</v>
      </c>
      <c r="M30" s="74">
        <v>0</v>
      </c>
      <c r="N30" s="74">
        <v>0</v>
      </c>
      <c r="O30" s="74">
        <v>0</v>
      </c>
      <c r="P30" s="74">
        <v>0</v>
      </c>
      <c r="Q30" s="74">
        <v>0</v>
      </c>
      <c r="R30" s="74">
        <v>0</v>
      </c>
      <c r="S30" s="74">
        <v>0</v>
      </c>
      <c r="T30" s="180">
        <v>0</v>
      </c>
      <c r="U30" s="180">
        <f t="shared" si="0"/>
        <v>19</v>
      </c>
      <c r="V30" s="180">
        <f t="shared" si="1"/>
        <v>11</v>
      </c>
      <c r="W30" s="181">
        <f t="shared" si="2"/>
        <v>0.5789473684210527</v>
      </c>
    </row>
    <row r="31" spans="1:23" ht="11.25">
      <c r="A31" s="16" t="s">
        <v>55</v>
      </c>
      <c r="B31" s="15" t="s">
        <v>8</v>
      </c>
      <c r="C31" s="15" t="s">
        <v>28</v>
      </c>
      <c r="D31" s="15">
        <v>2</v>
      </c>
      <c r="E31" s="180">
        <v>1</v>
      </c>
      <c r="F31" s="54">
        <v>1</v>
      </c>
      <c r="G31" s="180">
        <v>2</v>
      </c>
      <c r="H31" s="54">
        <v>2</v>
      </c>
      <c r="I31" s="180">
        <v>10</v>
      </c>
      <c r="J31" s="54">
        <v>5</v>
      </c>
      <c r="K31" s="180">
        <v>5</v>
      </c>
      <c r="L31" s="180">
        <v>3</v>
      </c>
      <c r="M31" s="180">
        <v>6</v>
      </c>
      <c r="N31" s="180">
        <v>2</v>
      </c>
      <c r="O31" s="180">
        <v>1</v>
      </c>
      <c r="P31" s="180">
        <v>1</v>
      </c>
      <c r="Q31" s="74">
        <v>0</v>
      </c>
      <c r="R31" s="74">
        <v>0</v>
      </c>
      <c r="S31" s="74">
        <v>0</v>
      </c>
      <c r="T31" s="180">
        <v>0</v>
      </c>
      <c r="U31" s="180">
        <f t="shared" si="0"/>
        <v>25</v>
      </c>
      <c r="V31" s="180">
        <f t="shared" si="1"/>
        <v>14</v>
      </c>
      <c r="W31" s="181">
        <f t="shared" si="2"/>
        <v>0.56</v>
      </c>
    </row>
    <row r="32" spans="1:23" ht="11.25">
      <c r="A32" s="16" t="s">
        <v>26</v>
      </c>
      <c r="B32" s="15" t="s">
        <v>8</v>
      </c>
      <c r="C32" s="15" t="s">
        <v>9</v>
      </c>
      <c r="D32" s="15">
        <v>2</v>
      </c>
      <c r="E32" s="180">
        <v>3</v>
      </c>
      <c r="F32" s="54">
        <v>1</v>
      </c>
      <c r="G32" s="180">
        <v>4</v>
      </c>
      <c r="H32" s="54">
        <v>2</v>
      </c>
      <c r="I32" s="180">
        <v>13</v>
      </c>
      <c r="J32" s="54">
        <v>6</v>
      </c>
      <c r="K32" s="180">
        <v>6</v>
      </c>
      <c r="L32" s="180">
        <v>4</v>
      </c>
      <c r="M32" s="180">
        <v>6</v>
      </c>
      <c r="N32" s="180">
        <v>4</v>
      </c>
      <c r="O32" s="180">
        <v>2</v>
      </c>
      <c r="P32" s="180">
        <v>1</v>
      </c>
      <c r="Q32" s="180">
        <v>2</v>
      </c>
      <c r="R32" s="180">
        <v>2</v>
      </c>
      <c r="S32" s="74">
        <v>0</v>
      </c>
      <c r="T32" s="180">
        <v>0</v>
      </c>
      <c r="U32" s="180">
        <f t="shared" si="0"/>
        <v>36</v>
      </c>
      <c r="V32" s="180">
        <f t="shared" si="1"/>
        <v>20</v>
      </c>
      <c r="W32" s="181">
        <f t="shared" si="2"/>
        <v>0.5555555555555556</v>
      </c>
    </row>
    <row r="33" spans="1:23" s="14" customFormat="1" ht="11.25">
      <c r="A33" s="53" t="s">
        <v>107</v>
      </c>
      <c r="B33" s="1" t="s">
        <v>41</v>
      </c>
      <c r="C33" s="1" t="s">
        <v>97</v>
      </c>
      <c r="D33" s="1">
        <v>1</v>
      </c>
      <c r="E33" s="54">
        <v>6</v>
      </c>
      <c r="F33" s="54">
        <v>4</v>
      </c>
      <c r="G33" s="54">
        <v>6</v>
      </c>
      <c r="H33" s="54">
        <v>5</v>
      </c>
      <c r="I33" s="54">
        <v>16</v>
      </c>
      <c r="J33" s="54">
        <v>5</v>
      </c>
      <c r="K33" s="54">
        <v>3</v>
      </c>
      <c r="L33" s="54">
        <v>3</v>
      </c>
      <c r="M33" s="74">
        <v>0</v>
      </c>
      <c r="N33" s="74">
        <v>0</v>
      </c>
      <c r="O33" s="74">
        <v>0</v>
      </c>
      <c r="P33" s="74">
        <v>0</v>
      </c>
      <c r="Q33" s="74">
        <v>0</v>
      </c>
      <c r="R33" s="74">
        <v>0</v>
      </c>
      <c r="S33" s="74">
        <v>0</v>
      </c>
      <c r="T33" s="180">
        <v>0</v>
      </c>
      <c r="U33" s="180">
        <f t="shared" si="0"/>
        <v>31</v>
      </c>
      <c r="V33" s="180">
        <f t="shared" si="1"/>
        <v>17</v>
      </c>
      <c r="W33" s="181">
        <f t="shared" si="2"/>
        <v>0.5483870967741935</v>
      </c>
    </row>
    <row r="34" spans="1:23" ht="11.25">
      <c r="A34" s="33" t="s">
        <v>132</v>
      </c>
      <c r="B34" s="1" t="s">
        <v>41</v>
      </c>
      <c r="C34" s="1" t="s">
        <v>97</v>
      </c>
      <c r="D34" s="1">
        <v>4</v>
      </c>
      <c r="E34" s="74">
        <v>4</v>
      </c>
      <c r="F34" s="54">
        <v>1</v>
      </c>
      <c r="G34" s="74">
        <v>5</v>
      </c>
      <c r="H34" s="54">
        <v>3</v>
      </c>
      <c r="I34" s="74">
        <v>7</v>
      </c>
      <c r="J34" s="54">
        <v>4</v>
      </c>
      <c r="K34" s="74">
        <v>1</v>
      </c>
      <c r="L34" s="74">
        <v>1</v>
      </c>
      <c r="M34" s="74">
        <v>0</v>
      </c>
      <c r="N34" s="74">
        <v>0</v>
      </c>
      <c r="O34" s="74">
        <v>0</v>
      </c>
      <c r="P34" s="74">
        <v>0</v>
      </c>
      <c r="Q34" s="74">
        <v>0</v>
      </c>
      <c r="R34" s="74">
        <v>0</v>
      </c>
      <c r="S34" s="74">
        <v>0</v>
      </c>
      <c r="T34" s="180">
        <v>0</v>
      </c>
      <c r="U34" s="180">
        <f t="shared" si="0"/>
        <v>17</v>
      </c>
      <c r="V34" s="180">
        <f t="shared" si="1"/>
        <v>9</v>
      </c>
      <c r="W34" s="181">
        <f t="shared" si="2"/>
        <v>0.5294117647058824</v>
      </c>
    </row>
    <row r="35" spans="1:37" s="14" customFormat="1" ht="11.25">
      <c r="A35" s="16" t="s">
        <v>101</v>
      </c>
      <c r="B35" s="14" t="s">
        <v>8</v>
      </c>
      <c r="C35" s="14" t="s">
        <v>114</v>
      </c>
      <c r="D35" s="14">
        <v>1</v>
      </c>
      <c r="E35" s="54">
        <v>6</v>
      </c>
      <c r="F35" s="54">
        <v>4</v>
      </c>
      <c r="G35" s="54">
        <v>5</v>
      </c>
      <c r="H35" s="54">
        <v>4</v>
      </c>
      <c r="I35" s="54">
        <v>18</v>
      </c>
      <c r="J35" s="54">
        <v>7</v>
      </c>
      <c r="K35" s="54">
        <v>5</v>
      </c>
      <c r="L35" s="54">
        <v>3</v>
      </c>
      <c r="M35" s="74">
        <v>0</v>
      </c>
      <c r="N35" s="74">
        <v>0</v>
      </c>
      <c r="O35" s="74">
        <v>0</v>
      </c>
      <c r="P35" s="74">
        <v>0</v>
      </c>
      <c r="Q35" s="74">
        <v>0</v>
      </c>
      <c r="R35" s="74">
        <v>0</v>
      </c>
      <c r="S35" s="74">
        <v>0</v>
      </c>
      <c r="T35" s="180">
        <v>0</v>
      </c>
      <c r="U35" s="180">
        <f t="shared" si="0"/>
        <v>34</v>
      </c>
      <c r="V35" s="180">
        <f t="shared" si="1"/>
        <v>18</v>
      </c>
      <c r="W35" s="181">
        <f t="shared" si="2"/>
        <v>0.5294117647058824</v>
      </c>
      <c r="X35" s="32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</row>
    <row r="36" spans="1:23" ht="11.25">
      <c r="A36" s="33" t="s">
        <v>110</v>
      </c>
      <c r="B36" s="1" t="s">
        <v>8</v>
      </c>
      <c r="C36" s="1" t="s">
        <v>53</v>
      </c>
      <c r="D36" s="1">
        <v>2</v>
      </c>
      <c r="E36" s="54">
        <v>3</v>
      </c>
      <c r="F36" s="54">
        <v>2</v>
      </c>
      <c r="G36" s="54">
        <v>4</v>
      </c>
      <c r="H36" s="54">
        <v>2</v>
      </c>
      <c r="I36" s="54">
        <v>9</v>
      </c>
      <c r="J36" s="54">
        <v>4</v>
      </c>
      <c r="K36" s="54">
        <v>3</v>
      </c>
      <c r="L36" s="54">
        <v>2</v>
      </c>
      <c r="M36" s="74">
        <v>0</v>
      </c>
      <c r="N36" s="74">
        <v>0</v>
      </c>
      <c r="O36" s="74">
        <v>0</v>
      </c>
      <c r="P36" s="74">
        <v>0</v>
      </c>
      <c r="Q36" s="74">
        <v>0</v>
      </c>
      <c r="R36" s="74">
        <v>0</v>
      </c>
      <c r="S36" s="74">
        <v>0</v>
      </c>
      <c r="T36" s="180">
        <v>0</v>
      </c>
      <c r="U36" s="180">
        <f aca="true" t="shared" si="3" ref="U36:U67">SUM(E36,G36,I36,K36,M36,O36,Q36,S36)</f>
        <v>19</v>
      </c>
      <c r="V36" s="180">
        <f aca="true" t="shared" si="4" ref="V36:V67">SUM(F36,H36,J36,L36,N36,P36,R36,T36)</f>
        <v>10</v>
      </c>
      <c r="W36" s="181">
        <f aca="true" t="shared" si="5" ref="W36:W67">SUM(V36/U36)</f>
        <v>0.5263157894736842</v>
      </c>
    </row>
    <row r="37" spans="1:23" ht="11.25">
      <c r="A37" s="33" t="s">
        <v>141</v>
      </c>
      <c r="B37" s="1" t="s">
        <v>41</v>
      </c>
      <c r="C37" s="1" t="s">
        <v>53</v>
      </c>
      <c r="D37" s="1">
        <v>3</v>
      </c>
      <c r="E37" s="54">
        <v>2</v>
      </c>
      <c r="F37" s="54">
        <v>2</v>
      </c>
      <c r="G37" s="54">
        <v>3</v>
      </c>
      <c r="H37" s="54">
        <v>2</v>
      </c>
      <c r="I37" s="54">
        <v>13</v>
      </c>
      <c r="J37" s="54">
        <v>4</v>
      </c>
      <c r="K37" s="54">
        <v>3</v>
      </c>
      <c r="L37" s="54">
        <v>3</v>
      </c>
      <c r="M37" s="74">
        <v>0</v>
      </c>
      <c r="N37" s="74">
        <v>0</v>
      </c>
      <c r="O37" s="74">
        <v>0</v>
      </c>
      <c r="P37" s="74">
        <v>0</v>
      </c>
      <c r="Q37" s="74">
        <v>0</v>
      </c>
      <c r="R37" s="74">
        <v>0</v>
      </c>
      <c r="S37" s="74">
        <v>0</v>
      </c>
      <c r="T37" s="180">
        <v>0</v>
      </c>
      <c r="U37" s="180">
        <f t="shared" si="3"/>
        <v>21</v>
      </c>
      <c r="V37" s="180">
        <f t="shared" si="4"/>
        <v>11</v>
      </c>
      <c r="W37" s="181">
        <f t="shared" si="5"/>
        <v>0.5238095238095238</v>
      </c>
    </row>
    <row r="38" spans="1:23" ht="11.25">
      <c r="A38" s="53" t="s">
        <v>122</v>
      </c>
      <c r="B38" s="1" t="s">
        <v>41</v>
      </c>
      <c r="C38" s="1" t="s">
        <v>97</v>
      </c>
      <c r="D38" s="1">
        <v>1</v>
      </c>
      <c r="E38" s="54">
        <v>5</v>
      </c>
      <c r="F38" s="54">
        <v>1</v>
      </c>
      <c r="G38" s="54">
        <v>3</v>
      </c>
      <c r="H38" s="54">
        <v>2</v>
      </c>
      <c r="I38" s="54">
        <v>14</v>
      </c>
      <c r="J38" s="54">
        <v>8</v>
      </c>
      <c r="K38" s="54">
        <v>3</v>
      </c>
      <c r="L38" s="54">
        <v>2</v>
      </c>
      <c r="M38" s="74">
        <v>0</v>
      </c>
      <c r="N38" s="74">
        <v>0</v>
      </c>
      <c r="O38" s="74">
        <v>0</v>
      </c>
      <c r="P38" s="74">
        <v>0</v>
      </c>
      <c r="Q38" s="74">
        <v>0</v>
      </c>
      <c r="R38" s="74">
        <v>0</v>
      </c>
      <c r="S38" s="74">
        <v>0</v>
      </c>
      <c r="T38" s="180">
        <v>0</v>
      </c>
      <c r="U38" s="180">
        <f t="shared" si="3"/>
        <v>25</v>
      </c>
      <c r="V38" s="180">
        <f t="shared" si="4"/>
        <v>13</v>
      </c>
      <c r="W38" s="181">
        <f t="shared" si="5"/>
        <v>0.52</v>
      </c>
    </row>
    <row r="39" spans="1:23" ht="11.25">
      <c r="A39" s="16" t="s">
        <v>81</v>
      </c>
      <c r="B39" s="14" t="s">
        <v>41</v>
      </c>
      <c r="C39" s="14" t="s">
        <v>53</v>
      </c>
      <c r="D39" s="14">
        <v>2</v>
      </c>
      <c r="E39" s="54">
        <v>5</v>
      </c>
      <c r="F39" s="54">
        <v>3</v>
      </c>
      <c r="G39" s="54">
        <v>3</v>
      </c>
      <c r="H39" s="54">
        <v>2</v>
      </c>
      <c r="I39" s="54">
        <v>16</v>
      </c>
      <c r="J39" s="54">
        <v>7</v>
      </c>
      <c r="K39" s="54">
        <v>6</v>
      </c>
      <c r="L39" s="54">
        <v>3</v>
      </c>
      <c r="M39" s="54">
        <v>3</v>
      </c>
      <c r="N39" s="54">
        <v>2</v>
      </c>
      <c r="O39" s="74">
        <v>0</v>
      </c>
      <c r="P39" s="74">
        <v>0</v>
      </c>
      <c r="Q39" s="74">
        <v>0</v>
      </c>
      <c r="R39" s="74">
        <v>0</v>
      </c>
      <c r="S39" s="74">
        <v>0</v>
      </c>
      <c r="T39" s="180">
        <v>0</v>
      </c>
      <c r="U39" s="180">
        <f t="shared" si="3"/>
        <v>33</v>
      </c>
      <c r="V39" s="180">
        <f t="shared" si="4"/>
        <v>17</v>
      </c>
      <c r="W39" s="181">
        <f t="shared" si="5"/>
        <v>0.5151515151515151</v>
      </c>
    </row>
    <row r="40" spans="1:23" ht="11.25">
      <c r="A40" s="33" t="s">
        <v>58</v>
      </c>
      <c r="B40" s="1" t="s">
        <v>8</v>
      </c>
      <c r="C40" s="1" t="s">
        <v>28</v>
      </c>
      <c r="D40" s="1">
        <v>2</v>
      </c>
      <c r="E40" s="54">
        <v>1</v>
      </c>
      <c r="F40" s="54">
        <v>1</v>
      </c>
      <c r="G40" s="54">
        <v>1</v>
      </c>
      <c r="H40" s="54">
        <v>1</v>
      </c>
      <c r="I40" s="54">
        <v>7</v>
      </c>
      <c r="J40" s="54">
        <v>2</v>
      </c>
      <c r="K40" s="54">
        <v>3</v>
      </c>
      <c r="L40" s="54">
        <v>2</v>
      </c>
      <c r="M40" s="54">
        <v>5</v>
      </c>
      <c r="N40" s="54">
        <v>2</v>
      </c>
      <c r="O40" s="74">
        <v>1</v>
      </c>
      <c r="P40" s="74">
        <v>1</v>
      </c>
      <c r="Q40" s="74">
        <v>0</v>
      </c>
      <c r="R40" s="74">
        <v>0</v>
      </c>
      <c r="S40" s="74">
        <v>0</v>
      </c>
      <c r="T40" s="180">
        <v>0</v>
      </c>
      <c r="U40" s="180">
        <f t="shared" si="3"/>
        <v>18</v>
      </c>
      <c r="V40" s="180">
        <f t="shared" si="4"/>
        <v>9</v>
      </c>
      <c r="W40" s="181">
        <f t="shared" si="5"/>
        <v>0.5</v>
      </c>
    </row>
    <row r="41" spans="1:23" ht="11.25">
      <c r="A41" s="33" t="s">
        <v>98</v>
      </c>
      <c r="B41" s="1" t="s">
        <v>8</v>
      </c>
      <c r="C41" s="1" t="s">
        <v>97</v>
      </c>
      <c r="D41" s="1">
        <v>3</v>
      </c>
      <c r="E41" s="74">
        <v>5</v>
      </c>
      <c r="F41" s="54">
        <v>3</v>
      </c>
      <c r="G41" s="74">
        <v>4</v>
      </c>
      <c r="H41" s="54">
        <v>3</v>
      </c>
      <c r="I41" s="74">
        <v>10</v>
      </c>
      <c r="J41" s="54">
        <v>3</v>
      </c>
      <c r="K41" s="74">
        <v>1</v>
      </c>
      <c r="L41" s="74">
        <v>1</v>
      </c>
      <c r="M41" s="74">
        <v>0</v>
      </c>
      <c r="N41" s="74">
        <v>0</v>
      </c>
      <c r="O41" s="74">
        <v>0</v>
      </c>
      <c r="P41" s="74">
        <v>0</v>
      </c>
      <c r="Q41" s="74">
        <v>0</v>
      </c>
      <c r="R41" s="74">
        <v>0</v>
      </c>
      <c r="S41" s="74">
        <v>0</v>
      </c>
      <c r="T41" s="180">
        <v>0</v>
      </c>
      <c r="U41" s="180">
        <f t="shared" si="3"/>
        <v>20</v>
      </c>
      <c r="V41" s="180">
        <f t="shared" si="4"/>
        <v>10</v>
      </c>
      <c r="W41" s="181">
        <f t="shared" si="5"/>
        <v>0.5</v>
      </c>
    </row>
    <row r="42" spans="1:23" ht="11.25">
      <c r="A42" s="33" t="s">
        <v>111</v>
      </c>
      <c r="B42" s="1" t="s">
        <v>8</v>
      </c>
      <c r="C42" s="1" t="s">
        <v>13</v>
      </c>
      <c r="D42" s="1" t="s">
        <v>15</v>
      </c>
      <c r="F42" s="54"/>
      <c r="G42" s="54"/>
      <c r="H42" s="54"/>
      <c r="I42" s="180">
        <v>1</v>
      </c>
      <c r="J42" s="54">
        <v>1</v>
      </c>
      <c r="K42" s="74">
        <v>1</v>
      </c>
      <c r="L42" s="74">
        <v>0</v>
      </c>
      <c r="T42" s="180"/>
      <c r="U42" s="180">
        <f t="shared" si="3"/>
        <v>2</v>
      </c>
      <c r="V42" s="180">
        <f t="shared" si="4"/>
        <v>1</v>
      </c>
      <c r="W42" s="181">
        <f t="shared" si="5"/>
        <v>0.5</v>
      </c>
    </row>
    <row r="43" spans="1:23" ht="11.25">
      <c r="A43" s="33" t="s">
        <v>153</v>
      </c>
      <c r="B43" s="1" t="s">
        <v>8</v>
      </c>
      <c r="C43" s="1" t="s">
        <v>25</v>
      </c>
      <c r="D43" s="1" t="s">
        <v>15</v>
      </c>
      <c r="F43" s="54"/>
      <c r="G43" s="54"/>
      <c r="H43" s="54"/>
      <c r="I43" s="180">
        <v>1</v>
      </c>
      <c r="J43" s="54">
        <v>1</v>
      </c>
      <c r="K43" s="74">
        <v>1</v>
      </c>
      <c r="L43" s="74">
        <v>0</v>
      </c>
      <c r="T43" s="180"/>
      <c r="U43" s="180">
        <f t="shared" si="3"/>
        <v>2</v>
      </c>
      <c r="V43" s="180">
        <f t="shared" si="4"/>
        <v>1</v>
      </c>
      <c r="W43" s="181">
        <f t="shared" si="5"/>
        <v>0.5</v>
      </c>
    </row>
    <row r="44" spans="1:23" s="14" customFormat="1" ht="11.25">
      <c r="A44" s="33" t="s">
        <v>39</v>
      </c>
      <c r="B44" s="1" t="s">
        <v>8</v>
      </c>
      <c r="C44" s="1" t="s">
        <v>53</v>
      </c>
      <c r="D44" s="1">
        <v>1</v>
      </c>
      <c r="E44" s="54">
        <v>3</v>
      </c>
      <c r="F44" s="54">
        <v>1</v>
      </c>
      <c r="G44" s="54">
        <v>3</v>
      </c>
      <c r="H44" s="54">
        <v>3</v>
      </c>
      <c r="I44" s="54">
        <v>14</v>
      </c>
      <c r="J44" s="54">
        <v>3</v>
      </c>
      <c r="K44" s="54">
        <v>5</v>
      </c>
      <c r="L44" s="54">
        <v>3</v>
      </c>
      <c r="M44" s="54">
        <v>5</v>
      </c>
      <c r="N44" s="54">
        <v>4</v>
      </c>
      <c r="O44" s="74">
        <v>0</v>
      </c>
      <c r="P44" s="74">
        <v>0</v>
      </c>
      <c r="Q44" s="74">
        <v>0</v>
      </c>
      <c r="R44" s="74">
        <v>0</v>
      </c>
      <c r="S44" s="74">
        <v>0</v>
      </c>
      <c r="T44" s="180">
        <v>0</v>
      </c>
      <c r="U44" s="180">
        <f t="shared" si="3"/>
        <v>30</v>
      </c>
      <c r="V44" s="180">
        <f t="shared" si="4"/>
        <v>14</v>
      </c>
      <c r="W44" s="181">
        <f t="shared" si="5"/>
        <v>0.4666666666666667</v>
      </c>
    </row>
    <row r="45" spans="1:23" ht="11.25">
      <c r="A45" s="33" t="s">
        <v>113</v>
      </c>
      <c r="B45" s="1" t="s">
        <v>41</v>
      </c>
      <c r="C45" s="1" t="s">
        <v>114</v>
      </c>
      <c r="D45" s="1">
        <v>1</v>
      </c>
      <c r="E45" s="54">
        <v>4</v>
      </c>
      <c r="F45" s="54">
        <v>2</v>
      </c>
      <c r="G45" s="54">
        <v>6</v>
      </c>
      <c r="H45" s="54">
        <v>5</v>
      </c>
      <c r="I45" s="54">
        <v>16</v>
      </c>
      <c r="J45" s="54">
        <v>3</v>
      </c>
      <c r="K45" s="54">
        <v>3</v>
      </c>
      <c r="L45" s="54">
        <v>3</v>
      </c>
      <c r="M45" s="74">
        <v>0</v>
      </c>
      <c r="N45" s="74">
        <v>0</v>
      </c>
      <c r="O45" s="74">
        <v>0</v>
      </c>
      <c r="P45" s="74">
        <v>0</v>
      </c>
      <c r="Q45" s="74">
        <v>0</v>
      </c>
      <c r="R45" s="74">
        <v>0</v>
      </c>
      <c r="S45" s="74">
        <v>0</v>
      </c>
      <c r="T45" s="180">
        <v>0</v>
      </c>
      <c r="U45" s="180">
        <f t="shared" si="3"/>
        <v>29</v>
      </c>
      <c r="V45" s="180">
        <f t="shared" si="4"/>
        <v>13</v>
      </c>
      <c r="W45" s="181">
        <f t="shared" si="5"/>
        <v>0.4482758620689655</v>
      </c>
    </row>
    <row r="46" spans="1:23" ht="11.25">
      <c r="A46" s="33" t="s">
        <v>95</v>
      </c>
      <c r="B46" s="1" t="s">
        <v>41</v>
      </c>
      <c r="C46" s="1" t="s">
        <v>97</v>
      </c>
      <c r="D46" s="1">
        <v>3</v>
      </c>
      <c r="E46" s="74">
        <v>5</v>
      </c>
      <c r="F46" s="54">
        <v>1</v>
      </c>
      <c r="G46" s="74">
        <v>4</v>
      </c>
      <c r="H46" s="54">
        <v>2</v>
      </c>
      <c r="I46" s="74">
        <v>8</v>
      </c>
      <c r="J46" s="54">
        <v>4</v>
      </c>
      <c r="K46" s="74">
        <v>1</v>
      </c>
      <c r="L46" s="74">
        <v>1</v>
      </c>
      <c r="M46" s="74">
        <v>0</v>
      </c>
      <c r="N46" s="74">
        <v>0</v>
      </c>
      <c r="O46" s="74">
        <v>0</v>
      </c>
      <c r="P46" s="74">
        <v>0</v>
      </c>
      <c r="Q46" s="74">
        <v>0</v>
      </c>
      <c r="R46" s="74">
        <v>0</v>
      </c>
      <c r="S46" s="74">
        <v>0</v>
      </c>
      <c r="T46" s="180">
        <v>0</v>
      </c>
      <c r="U46" s="180">
        <f t="shared" si="3"/>
        <v>18</v>
      </c>
      <c r="V46" s="180">
        <f t="shared" si="4"/>
        <v>8</v>
      </c>
      <c r="W46" s="181">
        <f t="shared" si="5"/>
        <v>0.4444444444444444</v>
      </c>
    </row>
    <row r="47" spans="1:23" s="14" customFormat="1" ht="11.25">
      <c r="A47" s="16" t="s">
        <v>33</v>
      </c>
      <c r="B47" s="15" t="s">
        <v>8</v>
      </c>
      <c r="C47" s="1" t="s">
        <v>53</v>
      </c>
      <c r="D47" s="15">
        <v>1</v>
      </c>
      <c r="E47" s="54">
        <v>2</v>
      </c>
      <c r="F47" s="54">
        <v>1</v>
      </c>
      <c r="G47" s="54">
        <v>2</v>
      </c>
      <c r="H47" s="54">
        <v>2</v>
      </c>
      <c r="I47" s="54">
        <v>11</v>
      </c>
      <c r="J47" s="54">
        <v>2</v>
      </c>
      <c r="K47" s="54">
        <v>3</v>
      </c>
      <c r="L47" s="54">
        <v>3</v>
      </c>
      <c r="M47" s="54">
        <v>8</v>
      </c>
      <c r="N47" s="54">
        <v>3</v>
      </c>
      <c r="O47" s="74">
        <v>1</v>
      </c>
      <c r="P47" s="74">
        <v>1</v>
      </c>
      <c r="Q47" s="74">
        <v>0</v>
      </c>
      <c r="R47" s="74">
        <v>0</v>
      </c>
      <c r="S47" s="74">
        <v>0</v>
      </c>
      <c r="T47" s="180">
        <v>0</v>
      </c>
      <c r="U47" s="180">
        <f t="shared" si="3"/>
        <v>27</v>
      </c>
      <c r="V47" s="180">
        <f t="shared" si="4"/>
        <v>12</v>
      </c>
      <c r="W47" s="181">
        <f t="shared" si="5"/>
        <v>0.4444444444444444</v>
      </c>
    </row>
    <row r="48" spans="1:23" ht="11.25">
      <c r="A48" s="33" t="s">
        <v>99</v>
      </c>
      <c r="B48" s="1" t="s">
        <v>41</v>
      </c>
      <c r="C48" s="1" t="s">
        <v>97</v>
      </c>
      <c r="D48" s="1">
        <v>3</v>
      </c>
      <c r="E48" s="74">
        <v>5</v>
      </c>
      <c r="F48" s="54">
        <v>2</v>
      </c>
      <c r="G48" s="74">
        <v>5</v>
      </c>
      <c r="H48" s="54">
        <v>2</v>
      </c>
      <c r="I48" s="74">
        <v>10</v>
      </c>
      <c r="J48" s="54">
        <v>4</v>
      </c>
      <c r="K48" s="74">
        <v>1</v>
      </c>
      <c r="L48" s="74">
        <v>1</v>
      </c>
      <c r="M48" s="74">
        <v>0</v>
      </c>
      <c r="N48" s="74">
        <v>0</v>
      </c>
      <c r="O48" s="74">
        <v>0</v>
      </c>
      <c r="P48" s="74">
        <v>0</v>
      </c>
      <c r="Q48" s="74">
        <v>0</v>
      </c>
      <c r="R48" s="74">
        <v>0</v>
      </c>
      <c r="S48" s="74">
        <v>0</v>
      </c>
      <c r="T48" s="180">
        <v>0</v>
      </c>
      <c r="U48" s="180">
        <f t="shared" si="3"/>
        <v>21</v>
      </c>
      <c r="V48" s="180">
        <f t="shared" si="4"/>
        <v>9</v>
      </c>
      <c r="W48" s="181">
        <f t="shared" si="5"/>
        <v>0.42857142857142855</v>
      </c>
    </row>
    <row r="49" spans="1:23" ht="11.25">
      <c r="A49" s="53" t="s">
        <v>142</v>
      </c>
      <c r="B49" s="1" t="s">
        <v>41</v>
      </c>
      <c r="C49" s="1" t="s">
        <v>97</v>
      </c>
      <c r="D49" s="1">
        <v>2</v>
      </c>
      <c r="E49" s="54">
        <v>5</v>
      </c>
      <c r="F49" s="54">
        <v>2</v>
      </c>
      <c r="G49" s="54">
        <v>3</v>
      </c>
      <c r="H49" s="54">
        <v>3</v>
      </c>
      <c r="I49" s="54">
        <v>11</v>
      </c>
      <c r="J49" s="54">
        <v>2</v>
      </c>
      <c r="K49" s="54">
        <v>2</v>
      </c>
      <c r="L49" s="54">
        <v>2</v>
      </c>
      <c r="M49" s="74">
        <v>0</v>
      </c>
      <c r="N49" s="74">
        <v>0</v>
      </c>
      <c r="O49" s="74">
        <v>0</v>
      </c>
      <c r="P49" s="74">
        <v>0</v>
      </c>
      <c r="Q49" s="74">
        <v>0</v>
      </c>
      <c r="R49" s="74">
        <v>0</v>
      </c>
      <c r="S49" s="74">
        <v>0</v>
      </c>
      <c r="T49" s="180">
        <v>0</v>
      </c>
      <c r="U49" s="180">
        <f t="shared" si="3"/>
        <v>21</v>
      </c>
      <c r="V49" s="180">
        <f t="shared" si="4"/>
        <v>9</v>
      </c>
      <c r="W49" s="181">
        <f t="shared" si="5"/>
        <v>0.42857142857142855</v>
      </c>
    </row>
    <row r="50" spans="1:23" ht="11.25">
      <c r="A50" s="33" t="s">
        <v>62</v>
      </c>
      <c r="B50" s="1" t="s">
        <v>41</v>
      </c>
      <c r="C50" s="1" t="s">
        <v>53</v>
      </c>
      <c r="D50" s="1">
        <v>1</v>
      </c>
      <c r="E50" s="54">
        <v>7</v>
      </c>
      <c r="F50" s="54">
        <v>4</v>
      </c>
      <c r="G50" s="54">
        <v>6</v>
      </c>
      <c r="H50" s="54">
        <v>3</v>
      </c>
      <c r="I50" s="54">
        <v>13</v>
      </c>
      <c r="J50" s="54">
        <v>3</v>
      </c>
      <c r="K50" s="54">
        <v>6</v>
      </c>
      <c r="L50" s="54">
        <v>2</v>
      </c>
      <c r="M50" s="54">
        <v>4</v>
      </c>
      <c r="N50" s="54">
        <v>3</v>
      </c>
      <c r="O50" s="74">
        <v>0</v>
      </c>
      <c r="P50" s="74">
        <v>0</v>
      </c>
      <c r="Q50" s="74">
        <v>0</v>
      </c>
      <c r="R50" s="74">
        <v>0</v>
      </c>
      <c r="S50" s="74">
        <v>0</v>
      </c>
      <c r="T50" s="180">
        <v>0</v>
      </c>
      <c r="U50" s="180">
        <f t="shared" si="3"/>
        <v>36</v>
      </c>
      <c r="V50" s="180">
        <f t="shared" si="4"/>
        <v>15</v>
      </c>
      <c r="W50" s="181">
        <f t="shared" si="5"/>
        <v>0.4166666666666667</v>
      </c>
    </row>
    <row r="51" spans="1:23" ht="11.25">
      <c r="A51" s="53" t="s">
        <v>148</v>
      </c>
      <c r="B51" s="1" t="s">
        <v>8</v>
      </c>
      <c r="C51" s="1" t="s">
        <v>97</v>
      </c>
      <c r="D51" s="1">
        <v>3</v>
      </c>
      <c r="E51" s="54">
        <v>7</v>
      </c>
      <c r="F51" s="54">
        <v>2</v>
      </c>
      <c r="G51" s="54">
        <v>4</v>
      </c>
      <c r="H51" s="54">
        <v>2</v>
      </c>
      <c r="I51" s="54">
        <v>12</v>
      </c>
      <c r="J51" s="54">
        <v>4</v>
      </c>
      <c r="K51" s="54">
        <v>2</v>
      </c>
      <c r="L51" s="54">
        <v>2</v>
      </c>
      <c r="M51" s="74">
        <v>0</v>
      </c>
      <c r="N51" s="74">
        <v>0</v>
      </c>
      <c r="O51" s="74">
        <v>0</v>
      </c>
      <c r="P51" s="74">
        <v>0</v>
      </c>
      <c r="Q51" s="74">
        <v>0</v>
      </c>
      <c r="R51" s="74">
        <v>0</v>
      </c>
      <c r="S51" s="74">
        <v>0</v>
      </c>
      <c r="T51" s="180">
        <v>0</v>
      </c>
      <c r="U51" s="180">
        <f t="shared" si="3"/>
        <v>25</v>
      </c>
      <c r="V51" s="180">
        <f t="shared" si="4"/>
        <v>10</v>
      </c>
      <c r="W51" s="181">
        <f t="shared" si="5"/>
        <v>0.4</v>
      </c>
    </row>
    <row r="52" spans="1:23" ht="11.25">
      <c r="A52" s="33" t="s">
        <v>12</v>
      </c>
      <c r="B52" s="1" t="s">
        <v>8</v>
      </c>
      <c r="C52" s="1" t="s">
        <v>13</v>
      </c>
      <c r="D52" s="1">
        <v>2</v>
      </c>
      <c r="E52" s="180">
        <v>1</v>
      </c>
      <c r="F52" s="54">
        <v>1</v>
      </c>
      <c r="G52" s="180">
        <v>0</v>
      </c>
      <c r="H52" s="54">
        <v>0</v>
      </c>
      <c r="I52" s="180">
        <v>15</v>
      </c>
      <c r="J52" s="54">
        <v>4</v>
      </c>
      <c r="K52" s="180">
        <v>7</v>
      </c>
      <c r="L52" s="180">
        <v>2</v>
      </c>
      <c r="M52" s="180">
        <v>8</v>
      </c>
      <c r="N52" s="180">
        <v>3</v>
      </c>
      <c r="O52" s="74">
        <v>4</v>
      </c>
      <c r="P52" s="74">
        <v>2</v>
      </c>
      <c r="Q52" s="74">
        <v>8</v>
      </c>
      <c r="R52" s="74">
        <v>4</v>
      </c>
      <c r="S52" s="74">
        <v>1</v>
      </c>
      <c r="T52" s="180">
        <v>1</v>
      </c>
      <c r="U52" s="180">
        <f t="shared" si="3"/>
        <v>44</v>
      </c>
      <c r="V52" s="180">
        <f t="shared" si="4"/>
        <v>17</v>
      </c>
      <c r="W52" s="181">
        <f t="shared" si="5"/>
        <v>0.38636363636363635</v>
      </c>
    </row>
    <row r="53" spans="1:23" ht="11.25">
      <c r="A53" s="33" t="s">
        <v>60</v>
      </c>
      <c r="B53" s="1" t="s">
        <v>8</v>
      </c>
      <c r="C53" s="1" t="s">
        <v>53</v>
      </c>
      <c r="D53" s="1">
        <v>1</v>
      </c>
      <c r="E53" s="54">
        <v>5</v>
      </c>
      <c r="F53" s="54">
        <v>0</v>
      </c>
      <c r="G53" s="54">
        <v>6</v>
      </c>
      <c r="H53" s="54">
        <v>1</v>
      </c>
      <c r="I53" s="54">
        <v>16</v>
      </c>
      <c r="J53" s="54">
        <v>6</v>
      </c>
      <c r="K53" s="54">
        <v>3</v>
      </c>
      <c r="L53" s="54">
        <v>2</v>
      </c>
      <c r="M53" s="74">
        <v>4</v>
      </c>
      <c r="N53" s="74">
        <v>4</v>
      </c>
      <c r="O53" s="74">
        <v>0</v>
      </c>
      <c r="P53" s="74">
        <v>0</v>
      </c>
      <c r="Q53" s="74">
        <v>0</v>
      </c>
      <c r="R53" s="74">
        <v>0</v>
      </c>
      <c r="S53" s="74">
        <v>0</v>
      </c>
      <c r="T53" s="180">
        <v>0</v>
      </c>
      <c r="U53" s="180">
        <f t="shared" si="3"/>
        <v>34</v>
      </c>
      <c r="V53" s="180">
        <f t="shared" si="4"/>
        <v>13</v>
      </c>
      <c r="W53" s="181">
        <f t="shared" si="5"/>
        <v>0.38235294117647056</v>
      </c>
    </row>
    <row r="54" spans="1:23" ht="11.25">
      <c r="A54" s="53" t="s">
        <v>57</v>
      </c>
      <c r="B54" s="1" t="s">
        <v>8</v>
      </c>
      <c r="C54" s="1" t="s">
        <v>173</v>
      </c>
      <c r="D54" s="1">
        <v>2</v>
      </c>
      <c r="E54" s="54">
        <v>1</v>
      </c>
      <c r="F54" s="54">
        <v>1</v>
      </c>
      <c r="G54" s="54">
        <v>1</v>
      </c>
      <c r="H54" s="54">
        <v>1</v>
      </c>
      <c r="I54" s="54">
        <v>3</v>
      </c>
      <c r="J54" s="54">
        <v>1</v>
      </c>
      <c r="K54" s="54">
        <v>3</v>
      </c>
      <c r="L54" s="54">
        <v>0</v>
      </c>
      <c r="M54" s="54">
        <v>0</v>
      </c>
      <c r="N54" s="54">
        <v>0</v>
      </c>
      <c r="O54" s="74">
        <v>0</v>
      </c>
      <c r="P54" s="74">
        <v>0</v>
      </c>
      <c r="Q54" s="74">
        <v>0</v>
      </c>
      <c r="R54" s="74">
        <v>0</v>
      </c>
      <c r="S54" s="74">
        <v>0</v>
      </c>
      <c r="T54" s="180">
        <v>0</v>
      </c>
      <c r="U54" s="180">
        <f t="shared" si="3"/>
        <v>8</v>
      </c>
      <c r="V54" s="180">
        <f t="shared" si="4"/>
        <v>3</v>
      </c>
      <c r="W54" s="181">
        <f t="shared" si="5"/>
        <v>0.375</v>
      </c>
    </row>
    <row r="55" spans="1:23" ht="11.25">
      <c r="A55" s="53" t="s">
        <v>86</v>
      </c>
      <c r="B55" s="1" t="s">
        <v>8</v>
      </c>
      <c r="C55" s="1" t="s">
        <v>13</v>
      </c>
      <c r="D55" s="1">
        <v>6</v>
      </c>
      <c r="E55" s="54">
        <v>2</v>
      </c>
      <c r="F55" s="54">
        <v>1</v>
      </c>
      <c r="G55" s="54">
        <v>2</v>
      </c>
      <c r="H55" s="54">
        <v>2</v>
      </c>
      <c r="I55" s="54">
        <v>6</v>
      </c>
      <c r="J55" s="54">
        <v>1</v>
      </c>
      <c r="K55" s="54">
        <v>4</v>
      </c>
      <c r="L55" s="54">
        <v>1</v>
      </c>
      <c r="M55" s="54">
        <v>2</v>
      </c>
      <c r="N55" s="54">
        <v>1</v>
      </c>
      <c r="O55" s="54">
        <v>0</v>
      </c>
      <c r="P55" s="54">
        <v>0</v>
      </c>
      <c r="Q55" s="74">
        <v>0</v>
      </c>
      <c r="R55" s="74">
        <v>0</v>
      </c>
      <c r="S55" s="74">
        <v>0</v>
      </c>
      <c r="T55" s="180">
        <v>0</v>
      </c>
      <c r="U55" s="180">
        <f t="shared" si="3"/>
        <v>16</v>
      </c>
      <c r="V55" s="180">
        <f t="shared" si="4"/>
        <v>6</v>
      </c>
      <c r="W55" s="181">
        <f t="shared" si="5"/>
        <v>0.375</v>
      </c>
    </row>
    <row r="56" spans="1:37" s="14" customFormat="1" ht="11.25">
      <c r="A56" s="16" t="s">
        <v>27</v>
      </c>
      <c r="B56" s="15" t="s">
        <v>8</v>
      </c>
      <c r="C56" s="1" t="s">
        <v>53</v>
      </c>
      <c r="D56" s="15">
        <v>1</v>
      </c>
      <c r="E56" s="180">
        <v>0</v>
      </c>
      <c r="F56" s="54">
        <v>0</v>
      </c>
      <c r="G56" s="180">
        <v>0</v>
      </c>
      <c r="H56" s="54">
        <v>0</v>
      </c>
      <c r="I56" s="180">
        <v>9</v>
      </c>
      <c r="J56" s="54">
        <v>2</v>
      </c>
      <c r="K56" s="180">
        <v>4</v>
      </c>
      <c r="L56" s="180">
        <v>2</v>
      </c>
      <c r="M56" s="180">
        <v>5</v>
      </c>
      <c r="N56" s="180">
        <v>2</v>
      </c>
      <c r="O56" s="74">
        <v>1</v>
      </c>
      <c r="P56" s="74">
        <v>1</v>
      </c>
      <c r="Q56" s="74">
        <v>0</v>
      </c>
      <c r="R56" s="74">
        <v>0</v>
      </c>
      <c r="S56" s="74">
        <v>0</v>
      </c>
      <c r="T56" s="180">
        <v>0</v>
      </c>
      <c r="U56" s="180">
        <f t="shared" si="3"/>
        <v>19</v>
      </c>
      <c r="V56" s="180">
        <f t="shared" si="4"/>
        <v>7</v>
      </c>
      <c r="W56" s="181">
        <f t="shared" si="5"/>
        <v>0.3684210526315789</v>
      </c>
      <c r="X56" s="32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</row>
    <row r="57" spans="1:23" ht="11.25">
      <c r="A57" s="16" t="s">
        <v>37</v>
      </c>
      <c r="B57" s="15" t="s">
        <v>8</v>
      </c>
      <c r="C57" s="15" t="s">
        <v>18</v>
      </c>
      <c r="D57" s="15">
        <v>2</v>
      </c>
      <c r="E57" s="180">
        <v>2</v>
      </c>
      <c r="F57" s="54">
        <v>1</v>
      </c>
      <c r="G57" s="180">
        <v>2</v>
      </c>
      <c r="H57" s="54">
        <v>2</v>
      </c>
      <c r="I57" s="180">
        <v>8</v>
      </c>
      <c r="J57" s="54">
        <v>2</v>
      </c>
      <c r="K57" s="180">
        <v>6</v>
      </c>
      <c r="L57" s="180">
        <v>1</v>
      </c>
      <c r="M57" s="180">
        <v>4</v>
      </c>
      <c r="N57" s="180">
        <v>1</v>
      </c>
      <c r="O57" s="180">
        <v>1</v>
      </c>
      <c r="P57" s="180">
        <v>1</v>
      </c>
      <c r="Q57" s="74">
        <v>0</v>
      </c>
      <c r="R57" s="74">
        <v>0</v>
      </c>
      <c r="S57" s="74">
        <v>0</v>
      </c>
      <c r="T57" s="180">
        <v>0</v>
      </c>
      <c r="U57" s="180">
        <f t="shared" si="3"/>
        <v>23</v>
      </c>
      <c r="V57" s="180">
        <f t="shared" si="4"/>
        <v>8</v>
      </c>
      <c r="W57" s="181">
        <f t="shared" si="5"/>
        <v>0.34782608695652173</v>
      </c>
    </row>
    <row r="58" spans="1:23" ht="11.25">
      <c r="A58" s="53" t="s">
        <v>151</v>
      </c>
      <c r="B58" s="1" t="s">
        <v>41</v>
      </c>
      <c r="C58" s="1" t="s">
        <v>97</v>
      </c>
      <c r="D58" s="1">
        <v>3</v>
      </c>
      <c r="E58" s="54">
        <v>6</v>
      </c>
      <c r="F58" s="54">
        <v>2</v>
      </c>
      <c r="G58" s="54">
        <v>5</v>
      </c>
      <c r="H58" s="54">
        <v>3</v>
      </c>
      <c r="I58" s="54">
        <v>12</v>
      </c>
      <c r="J58" s="54">
        <v>2</v>
      </c>
      <c r="K58" s="54">
        <v>1</v>
      </c>
      <c r="L58" s="54">
        <v>1</v>
      </c>
      <c r="M58" s="74">
        <v>0</v>
      </c>
      <c r="N58" s="74">
        <v>0</v>
      </c>
      <c r="O58" s="74">
        <v>0</v>
      </c>
      <c r="P58" s="74">
        <v>0</v>
      </c>
      <c r="Q58" s="74">
        <v>0</v>
      </c>
      <c r="R58" s="74">
        <v>0</v>
      </c>
      <c r="S58" s="74">
        <v>0</v>
      </c>
      <c r="T58" s="180">
        <v>0</v>
      </c>
      <c r="U58" s="180">
        <f t="shared" si="3"/>
        <v>24</v>
      </c>
      <c r="V58" s="180">
        <f t="shared" si="4"/>
        <v>8</v>
      </c>
      <c r="W58" s="181">
        <f t="shared" si="5"/>
        <v>0.3333333333333333</v>
      </c>
    </row>
    <row r="59" spans="1:23" s="14" customFormat="1" ht="11.25">
      <c r="A59" s="33" t="s">
        <v>127</v>
      </c>
      <c r="B59" s="1" t="s">
        <v>8</v>
      </c>
      <c r="C59" s="1" t="s">
        <v>114</v>
      </c>
      <c r="D59" s="1">
        <v>2</v>
      </c>
      <c r="E59" s="54">
        <v>3</v>
      </c>
      <c r="F59" s="54">
        <v>2</v>
      </c>
      <c r="G59" s="54">
        <v>5</v>
      </c>
      <c r="H59" s="54">
        <v>1</v>
      </c>
      <c r="I59" s="54">
        <v>10</v>
      </c>
      <c r="J59" s="54">
        <v>3</v>
      </c>
      <c r="K59" s="54">
        <v>0</v>
      </c>
      <c r="L59" s="54">
        <v>0</v>
      </c>
      <c r="M59" s="74">
        <v>0</v>
      </c>
      <c r="N59" s="74">
        <v>0</v>
      </c>
      <c r="O59" s="74">
        <v>0</v>
      </c>
      <c r="P59" s="74">
        <v>0</v>
      </c>
      <c r="Q59" s="74">
        <v>0</v>
      </c>
      <c r="R59" s="74">
        <v>0</v>
      </c>
      <c r="S59" s="74">
        <v>0</v>
      </c>
      <c r="T59" s="180">
        <v>0</v>
      </c>
      <c r="U59" s="180">
        <f t="shared" si="3"/>
        <v>18</v>
      </c>
      <c r="V59" s="180">
        <f t="shared" si="4"/>
        <v>6</v>
      </c>
      <c r="W59" s="181">
        <f t="shared" si="5"/>
        <v>0.3333333333333333</v>
      </c>
    </row>
    <row r="60" spans="1:23" ht="11.25">
      <c r="A60" s="16" t="s">
        <v>52</v>
      </c>
      <c r="B60" s="14" t="s">
        <v>41</v>
      </c>
      <c r="C60" s="14" t="s">
        <v>53</v>
      </c>
      <c r="D60" s="14">
        <v>1</v>
      </c>
      <c r="E60" s="54">
        <v>8</v>
      </c>
      <c r="F60" s="54">
        <v>3</v>
      </c>
      <c r="G60" s="54">
        <v>8</v>
      </c>
      <c r="H60" s="54">
        <v>4</v>
      </c>
      <c r="I60" s="54">
        <v>17</v>
      </c>
      <c r="J60" s="54">
        <v>4</v>
      </c>
      <c r="K60" s="54">
        <v>8</v>
      </c>
      <c r="L60" s="54">
        <v>1</v>
      </c>
      <c r="M60" s="54">
        <v>8</v>
      </c>
      <c r="N60" s="54">
        <v>4</v>
      </c>
      <c r="O60" s="74">
        <v>0</v>
      </c>
      <c r="P60" s="74">
        <v>0</v>
      </c>
      <c r="Q60" s="74">
        <v>0</v>
      </c>
      <c r="R60" s="74">
        <v>0</v>
      </c>
      <c r="S60" s="74">
        <v>0</v>
      </c>
      <c r="T60" s="180">
        <v>0</v>
      </c>
      <c r="U60" s="180">
        <f t="shared" si="3"/>
        <v>49</v>
      </c>
      <c r="V60" s="180">
        <f t="shared" si="4"/>
        <v>16</v>
      </c>
      <c r="W60" s="181">
        <f t="shared" si="5"/>
        <v>0.32653061224489793</v>
      </c>
    </row>
    <row r="61" spans="1:23" ht="11.25">
      <c r="A61" s="33" t="s">
        <v>115</v>
      </c>
      <c r="B61" s="1" t="s">
        <v>41</v>
      </c>
      <c r="C61" s="1" t="s">
        <v>114</v>
      </c>
      <c r="D61" s="1">
        <v>1</v>
      </c>
      <c r="E61" s="54">
        <v>3</v>
      </c>
      <c r="F61" s="54">
        <v>0</v>
      </c>
      <c r="G61" s="54">
        <v>1</v>
      </c>
      <c r="H61" s="54">
        <v>1</v>
      </c>
      <c r="I61" s="54">
        <v>16</v>
      </c>
      <c r="J61" s="54">
        <v>4</v>
      </c>
      <c r="K61" s="54">
        <v>2</v>
      </c>
      <c r="L61" s="54">
        <v>2</v>
      </c>
      <c r="M61" s="74">
        <v>0</v>
      </c>
      <c r="N61" s="74">
        <v>0</v>
      </c>
      <c r="O61" s="74">
        <v>0</v>
      </c>
      <c r="P61" s="74">
        <v>0</v>
      </c>
      <c r="Q61" s="74">
        <v>0</v>
      </c>
      <c r="R61" s="74">
        <v>0</v>
      </c>
      <c r="S61" s="74">
        <v>0</v>
      </c>
      <c r="T61" s="180">
        <v>0</v>
      </c>
      <c r="U61" s="180">
        <f t="shared" si="3"/>
        <v>22</v>
      </c>
      <c r="V61" s="180">
        <f t="shared" si="4"/>
        <v>7</v>
      </c>
      <c r="W61" s="181">
        <f t="shared" si="5"/>
        <v>0.3181818181818182</v>
      </c>
    </row>
    <row r="62" spans="1:23" s="14" customFormat="1" ht="11.25">
      <c r="A62" s="16" t="s">
        <v>31</v>
      </c>
      <c r="B62" s="15" t="s">
        <v>8</v>
      </c>
      <c r="C62" s="1" t="s">
        <v>53</v>
      </c>
      <c r="D62" s="15">
        <v>1</v>
      </c>
      <c r="E62" s="180">
        <v>8</v>
      </c>
      <c r="F62" s="54">
        <v>2</v>
      </c>
      <c r="G62" s="54">
        <v>9</v>
      </c>
      <c r="H62" s="54">
        <v>3</v>
      </c>
      <c r="I62" s="54">
        <v>17</v>
      </c>
      <c r="J62" s="54">
        <v>3</v>
      </c>
      <c r="K62" s="54">
        <v>6</v>
      </c>
      <c r="L62" s="54">
        <v>3</v>
      </c>
      <c r="M62" s="54">
        <v>9</v>
      </c>
      <c r="N62" s="54">
        <v>3</v>
      </c>
      <c r="O62" s="74">
        <v>1</v>
      </c>
      <c r="P62" s="74">
        <v>1</v>
      </c>
      <c r="Q62" s="74">
        <v>0</v>
      </c>
      <c r="R62" s="74">
        <v>0</v>
      </c>
      <c r="S62" s="74">
        <v>0</v>
      </c>
      <c r="T62" s="180">
        <v>0</v>
      </c>
      <c r="U62" s="180">
        <f t="shared" si="3"/>
        <v>50</v>
      </c>
      <c r="V62" s="180">
        <f t="shared" si="4"/>
        <v>15</v>
      </c>
      <c r="W62" s="181">
        <f t="shared" si="5"/>
        <v>0.3</v>
      </c>
    </row>
    <row r="63" spans="1:37" s="14" customFormat="1" ht="11.25">
      <c r="A63" s="33" t="s">
        <v>66</v>
      </c>
      <c r="B63" s="1" t="s">
        <v>41</v>
      </c>
      <c r="C63" s="15" t="s">
        <v>28</v>
      </c>
      <c r="D63" s="1">
        <v>1</v>
      </c>
      <c r="E63" s="54">
        <v>3</v>
      </c>
      <c r="F63" s="54">
        <v>0</v>
      </c>
      <c r="G63" s="54">
        <v>5</v>
      </c>
      <c r="H63" s="54">
        <v>3</v>
      </c>
      <c r="I63" s="54">
        <v>15</v>
      </c>
      <c r="J63" s="54">
        <v>3</v>
      </c>
      <c r="K63" s="54">
        <v>8</v>
      </c>
      <c r="L63" s="54">
        <v>2</v>
      </c>
      <c r="M63" s="54">
        <v>3</v>
      </c>
      <c r="N63" s="54">
        <v>2</v>
      </c>
      <c r="O63" s="74">
        <v>0</v>
      </c>
      <c r="P63" s="74">
        <v>0</v>
      </c>
      <c r="Q63" s="74">
        <v>0</v>
      </c>
      <c r="R63" s="74">
        <v>0</v>
      </c>
      <c r="S63" s="74">
        <v>0</v>
      </c>
      <c r="T63" s="180">
        <v>0</v>
      </c>
      <c r="U63" s="180">
        <f t="shared" si="3"/>
        <v>34</v>
      </c>
      <c r="V63" s="180">
        <f t="shared" si="4"/>
        <v>10</v>
      </c>
      <c r="W63" s="181">
        <f t="shared" si="5"/>
        <v>0.29411764705882354</v>
      </c>
      <c r="X63" s="32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</row>
    <row r="64" spans="1:37" s="14" customFormat="1" ht="11.25">
      <c r="A64" s="16" t="s">
        <v>45</v>
      </c>
      <c r="B64" s="15" t="s">
        <v>41</v>
      </c>
      <c r="C64" s="15" t="s">
        <v>28</v>
      </c>
      <c r="D64" s="15">
        <v>1</v>
      </c>
      <c r="E64" s="180">
        <v>6</v>
      </c>
      <c r="F64" s="54">
        <v>1</v>
      </c>
      <c r="G64" s="180">
        <v>7</v>
      </c>
      <c r="H64" s="54">
        <v>2</v>
      </c>
      <c r="I64" s="180">
        <v>21</v>
      </c>
      <c r="J64" s="54">
        <v>4</v>
      </c>
      <c r="K64" s="180">
        <v>9</v>
      </c>
      <c r="L64" s="180">
        <v>3</v>
      </c>
      <c r="M64" s="180">
        <v>7</v>
      </c>
      <c r="N64" s="180">
        <v>3</v>
      </c>
      <c r="O64" s="180">
        <v>4</v>
      </c>
      <c r="P64" s="180">
        <v>2</v>
      </c>
      <c r="Q64" s="74">
        <v>0</v>
      </c>
      <c r="R64" s="74">
        <v>0</v>
      </c>
      <c r="S64" s="74">
        <v>0</v>
      </c>
      <c r="T64" s="180">
        <v>0</v>
      </c>
      <c r="U64" s="180">
        <f t="shared" si="3"/>
        <v>54</v>
      </c>
      <c r="V64" s="180">
        <f t="shared" si="4"/>
        <v>15</v>
      </c>
      <c r="W64" s="181">
        <f t="shared" si="5"/>
        <v>0.2777777777777778</v>
      </c>
      <c r="X64" s="32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</row>
    <row r="65" spans="1:23" ht="11.25">
      <c r="A65" s="33" t="s">
        <v>90</v>
      </c>
      <c r="B65" s="15" t="s">
        <v>8</v>
      </c>
      <c r="C65" s="15" t="s">
        <v>25</v>
      </c>
      <c r="D65" s="1">
        <v>6</v>
      </c>
      <c r="E65" s="54">
        <v>2</v>
      </c>
      <c r="F65" s="54">
        <v>1</v>
      </c>
      <c r="G65" s="54">
        <v>2</v>
      </c>
      <c r="H65" s="54">
        <v>2</v>
      </c>
      <c r="I65" s="54">
        <v>6</v>
      </c>
      <c r="J65" s="54">
        <v>0</v>
      </c>
      <c r="K65" s="54">
        <v>4</v>
      </c>
      <c r="L65" s="54">
        <v>0</v>
      </c>
      <c r="M65" s="54">
        <v>2</v>
      </c>
      <c r="N65" s="54">
        <v>1</v>
      </c>
      <c r="O65" s="54">
        <v>0</v>
      </c>
      <c r="P65" s="54">
        <v>0</v>
      </c>
      <c r="Q65" s="74">
        <v>0</v>
      </c>
      <c r="R65" s="74">
        <v>0</v>
      </c>
      <c r="S65" s="74">
        <v>0</v>
      </c>
      <c r="T65" s="180">
        <v>0</v>
      </c>
      <c r="U65" s="180">
        <f t="shared" si="3"/>
        <v>16</v>
      </c>
      <c r="V65" s="180">
        <f t="shared" si="4"/>
        <v>4</v>
      </c>
      <c r="W65" s="181">
        <f t="shared" si="5"/>
        <v>0.25</v>
      </c>
    </row>
    <row r="66" spans="1:37" s="14" customFormat="1" ht="11.25">
      <c r="A66" s="16" t="s">
        <v>89</v>
      </c>
      <c r="B66" s="15" t="s">
        <v>41</v>
      </c>
      <c r="C66" s="15" t="s">
        <v>28</v>
      </c>
      <c r="D66" s="15">
        <v>3</v>
      </c>
      <c r="E66" s="180">
        <v>1</v>
      </c>
      <c r="F66" s="54">
        <v>0</v>
      </c>
      <c r="G66" s="180">
        <v>1</v>
      </c>
      <c r="H66" s="54">
        <v>1</v>
      </c>
      <c r="I66" s="180">
        <v>9</v>
      </c>
      <c r="J66" s="54">
        <v>1</v>
      </c>
      <c r="K66" s="180">
        <v>5</v>
      </c>
      <c r="L66" s="180">
        <v>2</v>
      </c>
      <c r="M66" s="180">
        <v>4</v>
      </c>
      <c r="N66" s="180">
        <v>1</v>
      </c>
      <c r="O66" s="180">
        <v>0</v>
      </c>
      <c r="P66" s="180">
        <v>0</v>
      </c>
      <c r="Q66" s="74">
        <v>0</v>
      </c>
      <c r="R66" s="74">
        <v>0</v>
      </c>
      <c r="S66" s="74">
        <v>0</v>
      </c>
      <c r="T66" s="180">
        <v>0</v>
      </c>
      <c r="U66" s="180">
        <f t="shared" si="3"/>
        <v>20</v>
      </c>
      <c r="V66" s="180">
        <f t="shared" si="4"/>
        <v>5</v>
      </c>
      <c r="W66" s="181">
        <f t="shared" si="5"/>
        <v>0.25</v>
      </c>
      <c r="X66" s="32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</row>
    <row r="67" spans="1:23" ht="11.25">
      <c r="A67" s="33" t="s">
        <v>48</v>
      </c>
      <c r="B67" s="1" t="s">
        <v>8</v>
      </c>
      <c r="C67" s="1" t="s">
        <v>13</v>
      </c>
      <c r="D67" s="1">
        <v>5</v>
      </c>
      <c r="E67" s="74">
        <v>0</v>
      </c>
      <c r="F67" s="54">
        <v>0</v>
      </c>
      <c r="G67" s="74">
        <v>0</v>
      </c>
      <c r="H67" s="54">
        <v>0</v>
      </c>
      <c r="I67" s="74">
        <v>8</v>
      </c>
      <c r="J67" s="54">
        <v>0</v>
      </c>
      <c r="K67" s="74">
        <v>8</v>
      </c>
      <c r="L67" s="74">
        <v>4</v>
      </c>
      <c r="M67" s="74">
        <v>4</v>
      </c>
      <c r="N67" s="74">
        <v>1</v>
      </c>
      <c r="O67" s="74">
        <v>0</v>
      </c>
      <c r="P67" s="74">
        <v>0</v>
      </c>
      <c r="Q67" s="74">
        <v>0</v>
      </c>
      <c r="R67" s="74">
        <v>0</v>
      </c>
      <c r="S67" s="74">
        <v>0</v>
      </c>
      <c r="T67" s="180">
        <v>0</v>
      </c>
      <c r="U67" s="180">
        <f t="shared" si="3"/>
        <v>20</v>
      </c>
      <c r="V67" s="180">
        <f t="shared" si="4"/>
        <v>5</v>
      </c>
      <c r="W67" s="181">
        <f t="shared" si="5"/>
        <v>0.25</v>
      </c>
    </row>
    <row r="68" spans="1:37" s="14" customFormat="1" ht="11.25">
      <c r="A68" s="16" t="s">
        <v>19</v>
      </c>
      <c r="B68" s="15" t="s">
        <v>8</v>
      </c>
      <c r="C68" s="15" t="s">
        <v>18</v>
      </c>
      <c r="D68" s="15">
        <v>1</v>
      </c>
      <c r="E68" s="180">
        <v>2</v>
      </c>
      <c r="F68" s="54">
        <v>0</v>
      </c>
      <c r="G68" s="180">
        <v>2</v>
      </c>
      <c r="H68" s="54">
        <v>0</v>
      </c>
      <c r="I68" s="180">
        <v>9</v>
      </c>
      <c r="J68" s="54">
        <v>2</v>
      </c>
      <c r="K68" s="180">
        <v>6</v>
      </c>
      <c r="L68" s="180">
        <v>1</v>
      </c>
      <c r="M68" s="180">
        <v>4</v>
      </c>
      <c r="N68" s="180">
        <v>2</v>
      </c>
      <c r="O68" s="180">
        <v>2</v>
      </c>
      <c r="P68" s="180">
        <v>1</v>
      </c>
      <c r="Q68" s="74">
        <v>0</v>
      </c>
      <c r="R68" s="74">
        <v>0</v>
      </c>
      <c r="S68" s="74">
        <v>0</v>
      </c>
      <c r="T68" s="180">
        <v>0</v>
      </c>
      <c r="U68" s="180">
        <f aca="true" t="shared" si="6" ref="U68:U95">SUM(E68,G68,I68,K68,M68,O68,Q68,S68)</f>
        <v>25</v>
      </c>
      <c r="V68" s="180">
        <f aca="true" t="shared" si="7" ref="V68:V95">SUM(F68,H68,J68,L68,N68,P68,R68,T68)</f>
        <v>6</v>
      </c>
      <c r="W68" s="181">
        <f aca="true" t="shared" si="8" ref="W68:W95">SUM(V68/U68)</f>
        <v>0.24</v>
      </c>
      <c r="X68" s="32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</row>
    <row r="69" spans="1:23" s="14" customFormat="1" ht="11.25">
      <c r="A69" s="53" t="s">
        <v>88</v>
      </c>
      <c r="B69" s="1" t="s">
        <v>41</v>
      </c>
      <c r="C69" s="15" t="s">
        <v>28</v>
      </c>
      <c r="D69" s="1">
        <v>3</v>
      </c>
      <c r="E69" s="54">
        <v>0</v>
      </c>
      <c r="F69" s="54">
        <v>0</v>
      </c>
      <c r="G69" s="54">
        <v>0</v>
      </c>
      <c r="H69" s="54">
        <v>0</v>
      </c>
      <c r="I69" s="54">
        <v>10</v>
      </c>
      <c r="J69" s="54">
        <v>3</v>
      </c>
      <c r="K69" s="54">
        <v>6</v>
      </c>
      <c r="L69" s="54">
        <v>0</v>
      </c>
      <c r="M69" s="54">
        <v>1</v>
      </c>
      <c r="N69" s="54">
        <v>1</v>
      </c>
      <c r="O69" s="74">
        <v>0</v>
      </c>
      <c r="P69" s="74">
        <v>0</v>
      </c>
      <c r="Q69" s="74">
        <v>0</v>
      </c>
      <c r="R69" s="74">
        <v>0</v>
      </c>
      <c r="S69" s="74">
        <v>0</v>
      </c>
      <c r="T69" s="180">
        <v>0</v>
      </c>
      <c r="U69" s="180">
        <f t="shared" si="6"/>
        <v>17</v>
      </c>
      <c r="V69" s="180">
        <f t="shared" si="7"/>
        <v>4</v>
      </c>
      <c r="W69" s="181">
        <f t="shared" si="8"/>
        <v>0.23529411764705882</v>
      </c>
    </row>
    <row r="70" spans="1:23" ht="11.25">
      <c r="A70" s="16" t="s">
        <v>42</v>
      </c>
      <c r="B70" s="15" t="s">
        <v>8</v>
      </c>
      <c r="C70" s="15" t="s">
        <v>9</v>
      </c>
      <c r="D70" s="15">
        <v>3</v>
      </c>
      <c r="E70" s="180">
        <v>0</v>
      </c>
      <c r="F70" s="54">
        <v>0</v>
      </c>
      <c r="G70" s="180">
        <v>0</v>
      </c>
      <c r="H70" s="54">
        <v>0</v>
      </c>
      <c r="I70" s="180">
        <v>4</v>
      </c>
      <c r="J70" s="54">
        <v>1</v>
      </c>
      <c r="K70" s="180">
        <v>3</v>
      </c>
      <c r="L70" s="180">
        <v>1</v>
      </c>
      <c r="M70" s="180">
        <v>2</v>
      </c>
      <c r="N70" s="180">
        <v>0</v>
      </c>
      <c r="O70" s="180">
        <v>0</v>
      </c>
      <c r="P70" s="180">
        <v>0</v>
      </c>
      <c r="Q70" s="180">
        <v>0</v>
      </c>
      <c r="R70" s="180">
        <v>0</v>
      </c>
      <c r="S70" s="74">
        <v>0</v>
      </c>
      <c r="T70" s="180">
        <v>0</v>
      </c>
      <c r="U70" s="180">
        <f t="shared" si="6"/>
        <v>9</v>
      </c>
      <c r="V70" s="180">
        <f t="shared" si="7"/>
        <v>2</v>
      </c>
      <c r="W70" s="181">
        <f t="shared" si="8"/>
        <v>0.2222222222222222</v>
      </c>
    </row>
    <row r="71" spans="1:37" s="14" customFormat="1" ht="11.25">
      <c r="A71" s="16" t="s">
        <v>7</v>
      </c>
      <c r="B71" s="15" t="s">
        <v>8</v>
      </c>
      <c r="C71" s="15" t="s">
        <v>9</v>
      </c>
      <c r="D71" s="15">
        <v>1</v>
      </c>
      <c r="E71" s="180">
        <v>7</v>
      </c>
      <c r="F71" s="54">
        <v>1</v>
      </c>
      <c r="G71" s="180">
        <v>2</v>
      </c>
      <c r="H71" s="54">
        <v>2</v>
      </c>
      <c r="I71" s="180">
        <v>31</v>
      </c>
      <c r="J71" s="54">
        <v>4</v>
      </c>
      <c r="K71" s="180">
        <v>17</v>
      </c>
      <c r="L71" s="180">
        <v>4</v>
      </c>
      <c r="M71" s="180">
        <v>8</v>
      </c>
      <c r="N71" s="180">
        <v>2</v>
      </c>
      <c r="O71" s="180">
        <v>4</v>
      </c>
      <c r="P71" s="180">
        <v>1</v>
      </c>
      <c r="Q71" s="180">
        <v>3</v>
      </c>
      <c r="R71" s="180">
        <v>1</v>
      </c>
      <c r="S71" s="74">
        <v>0</v>
      </c>
      <c r="T71" s="180">
        <v>0</v>
      </c>
      <c r="U71" s="180">
        <f t="shared" si="6"/>
        <v>72</v>
      </c>
      <c r="V71" s="180">
        <f t="shared" si="7"/>
        <v>15</v>
      </c>
      <c r="W71" s="181">
        <f t="shared" si="8"/>
        <v>0.20833333333333334</v>
      </c>
      <c r="X71" s="32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</row>
    <row r="72" spans="1:37" s="14" customFormat="1" ht="11.25">
      <c r="A72" s="53" t="s">
        <v>84</v>
      </c>
      <c r="B72" s="1" t="s">
        <v>41</v>
      </c>
      <c r="C72" s="1" t="s">
        <v>173</v>
      </c>
      <c r="D72" s="1">
        <v>2</v>
      </c>
      <c r="E72" s="54">
        <v>1</v>
      </c>
      <c r="F72" s="54">
        <v>1</v>
      </c>
      <c r="G72" s="54">
        <v>1</v>
      </c>
      <c r="H72" s="54">
        <v>1</v>
      </c>
      <c r="I72" s="54">
        <v>4</v>
      </c>
      <c r="J72" s="54">
        <v>0</v>
      </c>
      <c r="K72" s="180">
        <v>4</v>
      </c>
      <c r="L72" s="180">
        <v>0</v>
      </c>
      <c r="M72" s="54">
        <v>0</v>
      </c>
      <c r="N72" s="54">
        <v>0</v>
      </c>
      <c r="O72" s="54">
        <v>0</v>
      </c>
      <c r="P72" s="54">
        <v>0</v>
      </c>
      <c r="Q72" s="74">
        <v>0</v>
      </c>
      <c r="R72" s="74">
        <v>0</v>
      </c>
      <c r="S72" s="74">
        <v>0</v>
      </c>
      <c r="T72" s="180">
        <v>0</v>
      </c>
      <c r="U72" s="180">
        <f t="shared" si="6"/>
        <v>10</v>
      </c>
      <c r="V72" s="180">
        <f t="shared" si="7"/>
        <v>2</v>
      </c>
      <c r="W72" s="181">
        <f t="shared" si="8"/>
        <v>0.2</v>
      </c>
      <c r="X72" s="32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</row>
    <row r="73" spans="1:37" s="14" customFormat="1" ht="11.25">
      <c r="A73" s="16" t="s">
        <v>17</v>
      </c>
      <c r="B73" s="15" t="s">
        <v>8</v>
      </c>
      <c r="C73" s="15" t="s">
        <v>18</v>
      </c>
      <c r="D73" s="15">
        <v>1</v>
      </c>
      <c r="E73" s="180">
        <v>0</v>
      </c>
      <c r="F73" s="54">
        <v>0</v>
      </c>
      <c r="G73" s="180">
        <v>0</v>
      </c>
      <c r="H73" s="54">
        <v>0</v>
      </c>
      <c r="I73" s="180">
        <v>2</v>
      </c>
      <c r="J73" s="54">
        <v>0</v>
      </c>
      <c r="K73" s="180">
        <v>1</v>
      </c>
      <c r="L73" s="180">
        <v>1</v>
      </c>
      <c r="M73" s="180">
        <v>2</v>
      </c>
      <c r="N73" s="180">
        <v>0</v>
      </c>
      <c r="O73" s="180">
        <v>0</v>
      </c>
      <c r="P73" s="180">
        <v>0</v>
      </c>
      <c r="Q73" s="74">
        <v>0</v>
      </c>
      <c r="R73" s="74">
        <v>0</v>
      </c>
      <c r="S73" s="74">
        <v>0</v>
      </c>
      <c r="T73" s="180">
        <v>0</v>
      </c>
      <c r="U73" s="180">
        <f t="shared" si="6"/>
        <v>5</v>
      </c>
      <c r="V73" s="180">
        <f t="shared" si="7"/>
        <v>1</v>
      </c>
      <c r="W73" s="181">
        <f t="shared" si="8"/>
        <v>0.2</v>
      </c>
      <c r="X73" s="32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</row>
    <row r="74" spans="1:37" s="14" customFormat="1" ht="11.25">
      <c r="A74" s="16" t="s">
        <v>20</v>
      </c>
      <c r="B74" s="15" t="s">
        <v>8</v>
      </c>
      <c r="C74" s="15" t="s">
        <v>18</v>
      </c>
      <c r="D74" s="15">
        <v>1</v>
      </c>
      <c r="E74" s="180">
        <v>0</v>
      </c>
      <c r="F74" s="54">
        <v>0</v>
      </c>
      <c r="G74" s="180">
        <v>0</v>
      </c>
      <c r="H74" s="54">
        <v>0</v>
      </c>
      <c r="I74" s="180">
        <v>5</v>
      </c>
      <c r="J74" s="54">
        <v>0</v>
      </c>
      <c r="K74" s="180">
        <v>3</v>
      </c>
      <c r="L74" s="180">
        <v>0</v>
      </c>
      <c r="M74" s="180">
        <v>2</v>
      </c>
      <c r="N74" s="180">
        <v>0</v>
      </c>
      <c r="O74" s="180">
        <v>1</v>
      </c>
      <c r="P74" s="180">
        <v>1</v>
      </c>
      <c r="Q74" s="74">
        <v>1</v>
      </c>
      <c r="R74" s="74">
        <v>1</v>
      </c>
      <c r="S74" s="74">
        <v>0</v>
      </c>
      <c r="T74" s="180">
        <v>0</v>
      </c>
      <c r="U74" s="180">
        <f t="shared" si="6"/>
        <v>12</v>
      </c>
      <c r="V74" s="180">
        <f t="shared" si="7"/>
        <v>2</v>
      </c>
      <c r="W74" s="181">
        <f t="shared" si="8"/>
        <v>0.16666666666666666</v>
      </c>
      <c r="X74" s="32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</row>
    <row r="75" spans="1:23" ht="11.25">
      <c r="A75" s="16" t="s">
        <v>46</v>
      </c>
      <c r="B75" s="14" t="s">
        <v>8</v>
      </c>
      <c r="C75" s="14" t="s">
        <v>25</v>
      </c>
      <c r="D75" s="14">
        <v>4</v>
      </c>
      <c r="E75" s="54">
        <v>2</v>
      </c>
      <c r="F75" s="54">
        <v>1</v>
      </c>
      <c r="G75" s="54">
        <v>2</v>
      </c>
      <c r="H75" s="54">
        <v>2</v>
      </c>
      <c r="I75" s="54">
        <v>8</v>
      </c>
      <c r="J75" s="54">
        <v>0</v>
      </c>
      <c r="K75" s="54">
        <v>6</v>
      </c>
      <c r="L75" s="54">
        <v>0</v>
      </c>
      <c r="M75" s="54">
        <v>6</v>
      </c>
      <c r="N75" s="54">
        <v>0</v>
      </c>
      <c r="O75" s="54">
        <v>2</v>
      </c>
      <c r="P75" s="54">
        <v>1</v>
      </c>
      <c r="Q75" s="54">
        <v>0</v>
      </c>
      <c r="R75" s="54">
        <v>0</v>
      </c>
      <c r="S75" s="74">
        <v>0</v>
      </c>
      <c r="T75" s="180">
        <v>0</v>
      </c>
      <c r="U75" s="180">
        <f t="shared" si="6"/>
        <v>26</v>
      </c>
      <c r="V75" s="180">
        <f t="shared" si="7"/>
        <v>4</v>
      </c>
      <c r="W75" s="181">
        <f t="shared" si="8"/>
        <v>0.15384615384615385</v>
      </c>
    </row>
    <row r="76" spans="1:23" s="14" customFormat="1" ht="11.25">
      <c r="A76" s="16" t="s">
        <v>23</v>
      </c>
      <c r="B76" s="14" t="s">
        <v>8</v>
      </c>
      <c r="C76" s="14" t="s">
        <v>13</v>
      </c>
      <c r="D76" s="14">
        <v>2</v>
      </c>
      <c r="E76" s="54">
        <v>0</v>
      </c>
      <c r="F76" s="54">
        <v>0</v>
      </c>
      <c r="G76" s="54">
        <v>0</v>
      </c>
      <c r="H76" s="54">
        <v>0</v>
      </c>
      <c r="I76" s="54">
        <v>5</v>
      </c>
      <c r="J76" s="54">
        <v>0</v>
      </c>
      <c r="K76" s="54">
        <v>3</v>
      </c>
      <c r="L76" s="54">
        <v>0</v>
      </c>
      <c r="M76" s="54">
        <v>3</v>
      </c>
      <c r="N76" s="54">
        <v>1</v>
      </c>
      <c r="O76" s="54">
        <v>1</v>
      </c>
      <c r="P76" s="54">
        <v>0</v>
      </c>
      <c r="Q76" s="54">
        <v>0</v>
      </c>
      <c r="R76" s="54">
        <v>0</v>
      </c>
      <c r="S76" s="74">
        <v>0</v>
      </c>
      <c r="T76" s="180">
        <v>0</v>
      </c>
      <c r="U76" s="180">
        <f t="shared" si="6"/>
        <v>12</v>
      </c>
      <c r="V76" s="180">
        <f t="shared" si="7"/>
        <v>1</v>
      </c>
      <c r="W76" s="181">
        <f t="shared" si="8"/>
        <v>0.08333333333333333</v>
      </c>
    </row>
    <row r="77" spans="1:37" s="14" customFormat="1" ht="11.25">
      <c r="A77" s="16" t="s">
        <v>74</v>
      </c>
      <c r="B77" s="15" t="s">
        <v>41</v>
      </c>
      <c r="C77" s="15" t="s">
        <v>28</v>
      </c>
      <c r="D77" s="15">
        <v>1</v>
      </c>
      <c r="E77" s="180">
        <v>0</v>
      </c>
      <c r="F77" s="54">
        <v>0</v>
      </c>
      <c r="G77" s="180">
        <v>0</v>
      </c>
      <c r="H77" s="54">
        <v>0</v>
      </c>
      <c r="I77" s="180">
        <v>10</v>
      </c>
      <c r="J77" s="54">
        <v>0</v>
      </c>
      <c r="K77" s="180">
        <v>7</v>
      </c>
      <c r="L77" s="180">
        <v>0</v>
      </c>
      <c r="M77" s="180">
        <v>4</v>
      </c>
      <c r="N77" s="180">
        <v>0</v>
      </c>
      <c r="O77" s="180">
        <v>1</v>
      </c>
      <c r="P77" s="180">
        <v>1</v>
      </c>
      <c r="Q77" s="74">
        <v>0</v>
      </c>
      <c r="R77" s="74">
        <v>0</v>
      </c>
      <c r="S77" s="74">
        <v>0</v>
      </c>
      <c r="T77" s="180">
        <v>0</v>
      </c>
      <c r="U77" s="180">
        <f t="shared" si="6"/>
        <v>22</v>
      </c>
      <c r="V77" s="180">
        <f t="shared" si="7"/>
        <v>1</v>
      </c>
      <c r="W77" s="181">
        <f t="shared" si="8"/>
        <v>0.045454545454545456</v>
      </c>
      <c r="X77" s="32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</row>
    <row r="78" spans="1:37" s="14" customFormat="1" ht="11.25">
      <c r="A78" s="16" t="s">
        <v>64</v>
      </c>
      <c r="B78" s="15" t="s">
        <v>41</v>
      </c>
      <c r="C78" s="15" t="s">
        <v>9</v>
      </c>
      <c r="D78" s="15">
        <v>1</v>
      </c>
      <c r="E78" s="180">
        <v>2</v>
      </c>
      <c r="F78" s="54">
        <v>0</v>
      </c>
      <c r="G78" s="180">
        <v>2</v>
      </c>
      <c r="H78" s="54">
        <v>0</v>
      </c>
      <c r="I78" s="180">
        <v>8</v>
      </c>
      <c r="J78" s="54">
        <v>1</v>
      </c>
      <c r="K78" s="180">
        <v>5</v>
      </c>
      <c r="L78" s="180">
        <v>0</v>
      </c>
      <c r="M78" s="180">
        <v>5</v>
      </c>
      <c r="N78" s="180">
        <v>0</v>
      </c>
      <c r="O78" s="180">
        <v>1</v>
      </c>
      <c r="P78" s="180">
        <v>0</v>
      </c>
      <c r="Q78" s="74">
        <v>0</v>
      </c>
      <c r="R78" s="74">
        <v>0</v>
      </c>
      <c r="S78" s="74">
        <v>0</v>
      </c>
      <c r="T78" s="180">
        <v>0</v>
      </c>
      <c r="U78" s="180">
        <f t="shared" si="6"/>
        <v>23</v>
      </c>
      <c r="V78" s="180">
        <f t="shared" si="7"/>
        <v>1</v>
      </c>
      <c r="W78" s="181">
        <f t="shared" si="8"/>
        <v>0.043478260869565216</v>
      </c>
      <c r="X78" s="32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</row>
    <row r="79" spans="1:37" s="14" customFormat="1" ht="11.25">
      <c r="A79" s="16" t="s">
        <v>73</v>
      </c>
      <c r="B79" s="15" t="s">
        <v>41</v>
      </c>
      <c r="C79" s="15" t="s">
        <v>9</v>
      </c>
      <c r="D79" s="15">
        <v>1</v>
      </c>
      <c r="E79" s="180">
        <v>3</v>
      </c>
      <c r="F79" s="54">
        <v>0</v>
      </c>
      <c r="G79" s="180">
        <v>4</v>
      </c>
      <c r="H79" s="54">
        <v>0</v>
      </c>
      <c r="I79" s="180">
        <v>12</v>
      </c>
      <c r="J79" s="54">
        <v>1</v>
      </c>
      <c r="K79" s="180">
        <v>7</v>
      </c>
      <c r="L79" s="180">
        <v>0</v>
      </c>
      <c r="M79" s="180">
        <v>7</v>
      </c>
      <c r="N79" s="180">
        <v>0</v>
      </c>
      <c r="O79" s="180">
        <v>3</v>
      </c>
      <c r="P79" s="180">
        <v>0</v>
      </c>
      <c r="Q79" s="74">
        <v>0</v>
      </c>
      <c r="R79" s="74">
        <v>0</v>
      </c>
      <c r="S79" s="74">
        <v>0</v>
      </c>
      <c r="T79" s="180">
        <v>0</v>
      </c>
      <c r="U79" s="180">
        <f t="shared" si="6"/>
        <v>36</v>
      </c>
      <c r="V79" s="180">
        <f t="shared" si="7"/>
        <v>1</v>
      </c>
      <c r="W79" s="181">
        <f t="shared" si="8"/>
        <v>0.027777777777777776</v>
      </c>
      <c r="X79" s="32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</row>
    <row r="80" spans="1:23" ht="11.25">
      <c r="A80" s="16" t="s">
        <v>21</v>
      </c>
      <c r="B80" s="15" t="s">
        <v>8</v>
      </c>
      <c r="C80" s="15" t="s">
        <v>9</v>
      </c>
      <c r="D80" s="15">
        <v>1</v>
      </c>
      <c r="E80" s="180">
        <v>3</v>
      </c>
      <c r="F80" s="54">
        <v>0</v>
      </c>
      <c r="G80" s="180">
        <v>4</v>
      </c>
      <c r="H80" s="54">
        <v>0</v>
      </c>
      <c r="I80" s="180">
        <v>14</v>
      </c>
      <c r="J80" s="54">
        <v>0</v>
      </c>
      <c r="K80" s="180">
        <v>4</v>
      </c>
      <c r="L80" s="180">
        <v>0</v>
      </c>
      <c r="M80" s="180">
        <v>9</v>
      </c>
      <c r="N80" s="180">
        <v>0</v>
      </c>
      <c r="O80" s="180">
        <v>3</v>
      </c>
      <c r="P80" s="180">
        <v>0</v>
      </c>
      <c r="Q80" s="180">
        <v>2</v>
      </c>
      <c r="R80" s="180">
        <v>0</v>
      </c>
      <c r="S80" s="74">
        <v>1</v>
      </c>
      <c r="T80" s="180">
        <v>1</v>
      </c>
      <c r="U80" s="180">
        <f t="shared" si="6"/>
        <v>40</v>
      </c>
      <c r="V80" s="180">
        <f t="shared" si="7"/>
        <v>1</v>
      </c>
      <c r="W80" s="181">
        <f t="shared" si="8"/>
        <v>0.025</v>
      </c>
    </row>
    <row r="81" spans="1:37" s="14" customFormat="1" ht="11.25">
      <c r="A81" s="53" t="s">
        <v>91</v>
      </c>
      <c r="B81" s="1" t="s">
        <v>41</v>
      </c>
      <c r="C81" s="1" t="s">
        <v>140</v>
      </c>
      <c r="D81" s="1">
        <v>3</v>
      </c>
      <c r="E81" s="54">
        <v>0</v>
      </c>
      <c r="F81" s="54">
        <v>0</v>
      </c>
      <c r="G81" s="54">
        <v>0</v>
      </c>
      <c r="H81" s="54">
        <v>0</v>
      </c>
      <c r="I81" s="54">
        <v>1</v>
      </c>
      <c r="J81" s="54">
        <v>0</v>
      </c>
      <c r="K81" s="54">
        <v>1</v>
      </c>
      <c r="L81" s="54">
        <v>0</v>
      </c>
      <c r="M81" s="54">
        <v>0</v>
      </c>
      <c r="N81" s="54">
        <v>0</v>
      </c>
      <c r="O81" s="54">
        <v>0</v>
      </c>
      <c r="P81" s="54">
        <v>0</v>
      </c>
      <c r="Q81" s="74">
        <v>0</v>
      </c>
      <c r="R81" s="74">
        <v>0</v>
      </c>
      <c r="S81" s="74">
        <v>0</v>
      </c>
      <c r="T81" s="180">
        <v>0</v>
      </c>
      <c r="U81" s="180">
        <f t="shared" si="6"/>
        <v>2</v>
      </c>
      <c r="V81" s="180">
        <f t="shared" si="7"/>
        <v>0</v>
      </c>
      <c r="W81" s="181">
        <f t="shared" si="8"/>
        <v>0</v>
      </c>
      <c r="X81" s="32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</row>
    <row r="82" spans="1:37" s="14" customFormat="1" ht="11.25">
      <c r="A82" s="16" t="s">
        <v>59</v>
      </c>
      <c r="B82" s="15" t="s">
        <v>41</v>
      </c>
      <c r="C82" s="15" t="s">
        <v>28</v>
      </c>
      <c r="D82" s="15">
        <v>1</v>
      </c>
      <c r="E82" s="180">
        <v>2</v>
      </c>
      <c r="F82" s="54">
        <v>0</v>
      </c>
      <c r="G82" s="180">
        <v>2</v>
      </c>
      <c r="H82" s="54">
        <v>0</v>
      </c>
      <c r="I82" s="180">
        <v>12</v>
      </c>
      <c r="J82" s="54">
        <v>0</v>
      </c>
      <c r="K82" s="180">
        <v>8</v>
      </c>
      <c r="L82" s="180">
        <v>0</v>
      </c>
      <c r="M82" s="180">
        <v>4</v>
      </c>
      <c r="N82" s="180">
        <v>0</v>
      </c>
      <c r="O82" s="180">
        <v>1</v>
      </c>
      <c r="P82" s="180">
        <v>0</v>
      </c>
      <c r="Q82" s="74">
        <v>0</v>
      </c>
      <c r="R82" s="74">
        <v>0</v>
      </c>
      <c r="S82" s="74">
        <v>0</v>
      </c>
      <c r="T82" s="180">
        <v>0</v>
      </c>
      <c r="U82" s="180">
        <f t="shared" si="6"/>
        <v>29</v>
      </c>
      <c r="V82" s="180">
        <f t="shared" si="7"/>
        <v>0</v>
      </c>
      <c r="W82" s="181">
        <f t="shared" si="8"/>
        <v>0</v>
      </c>
      <c r="X82" s="32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</row>
    <row r="83" spans="1:37" s="14" customFormat="1" ht="11.25">
      <c r="A83" s="16" t="s">
        <v>75</v>
      </c>
      <c r="B83" s="15" t="s">
        <v>41</v>
      </c>
      <c r="C83" s="15" t="s">
        <v>18</v>
      </c>
      <c r="D83" s="15">
        <v>1</v>
      </c>
      <c r="E83" s="180">
        <v>3</v>
      </c>
      <c r="F83" s="54">
        <v>0</v>
      </c>
      <c r="G83" s="180">
        <v>4</v>
      </c>
      <c r="H83" s="54">
        <v>0</v>
      </c>
      <c r="I83" s="180">
        <v>9</v>
      </c>
      <c r="J83" s="54">
        <v>0</v>
      </c>
      <c r="K83" s="180">
        <v>5</v>
      </c>
      <c r="L83" s="180">
        <v>0</v>
      </c>
      <c r="M83" s="180">
        <v>3</v>
      </c>
      <c r="N83" s="180">
        <v>0</v>
      </c>
      <c r="O83" s="180">
        <v>1</v>
      </c>
      <c r="P83" s="180">
        <v>0</v>
      </c>
      <c r="Q83" s="74">
        <v>0</v>
      </c>
      <c r="R83" s="74">
        <v>0</v>
      </c>
      <c r="S83" s="74">
        <v>0</v>
      </c>
      <c r="T83" s="180">
        <v>0</v>
      </c>
      <c r="U83" s="180">
        <f t="shared" si="6"/>
        <v>25</v>
      </c>
      <c r="V83" s="180">
        <f t="shared" si="7"/>
        <v>0</v>
      </c>
      <c r="W83" s="181">
        <f t="shared" si="8"/>
        <v>0</v>
      </c>
      <c r="X83" s="32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</row>
    <row r="84" spans="1:37" s="14" customFormat="1" ht="11.25">
      <c r="A84" s="16" t="s">
        <v>87</v>
      </c>
      <c r="B84" s="15" t="s">
        <v>41</v>
      </c>
      <c r="C84" s="15" t="s">
        <v>9</v>
      </c>
      <c r="D84" s="15">
        <v>3</v>
      </c>
      <c r="E84" s="180">
        <v>2</v>
      </c>
      <c r="F84" s="54">
        <v>0</v>
      </c>
      <c r="G84" s="180">
        <v>2</v>
      </c>
      <c r="H84" s="54">
        <v>0</v>
      </c>
      <c r="I84" s="180">
        <v>5</v>
      </c>
      <c r="J84" s="54">
        <v>0</v>
      </c>
      <c r="K84" s="180">
        <v>5</v>
      </c>
      <c r="L84" s="180">
        <v>0</v>
      </c>
      <c r="M84" s="180">
        <v>0</v>
      </c>
      <c r="N84" s="180">
        <v>0</v>
      </c>
      <c r="O84" s="180">
        <v>0</v>
      </c>
      <c r="P84" s="180">
        <v>0</v>
      </c>
      <c r="Q84" s="74">
        <v>0</v>
      </c>
      <c r="R84" s="74">
        <v>0</v>
      </c>
      <c r="S84" s="74">
        <v>0</v>
      </c>
      <c r="T84" s="180">
        <v>0</v>
      </c>
      <c r="U84" s="180">
        <f t="shared" si="6"/>
        <v>14</v>
      </c>
      <c r="V84" s="180">
        <f t="shared" si="7"/>
        <v>0</v>
      </c>
      <c r="W84" s="181">
        <f t="shared" si="8"/>
        <v>0</v>
      </c>
      <c r="X84" s="32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</row>
    <row r="85" spans="1:37" s="14" customFormat="1" ht="11.25">
      <c r="A85" s="16" t="s">
        <v>10</v>
      </c>
      <c r="B85" s="15" t="s">
        <v>8</v>
      </c>
      <c r="C85" s="15" t="s">
        <v>11</v>
      </c>
      <c r="D85" s="15">
        <v>1</v>
      </c>
      <c r="E85" s="180">
        <v>2</v>
      </c>
      <c r="F85" s="54">
        <v>0</v>
      </c>
      <c r="G85" s="180">
        <v>2</v>
      </c>
      <c r="H85" s="54">
        <v>0</v>
      </c>
      <c r="I85" s="180">
        <v>6</v>
      </c>
      <c r="J85" s="54">
        <v>0</v>
      </c>
      <c r="K85" s="180">
        <v>6</v>
      </c>
      <c r="L85" s="180">
        <v>0</v>
      </c>
      <c r="M85" s="180">
        <v>0</v>
      </c>
      <c r="N85" s="180">
        <v>0</v>
      </c>
      <c r="O85" s="180">
        <v>0</v>
      </c>
      <c r="P85" s="180">
        <v>0</v>
      </c>
      <c r="Q85" s="180">
        <v>0</v>
      </c>
      <c r="R85" s="180">
        <v>0</v>
      </c>
      <c r="S85" s="74">
        <v>0</v>
      </c>
      <c r="T85" s="180">
        <v>0</v>
      </c>
      <c r="U85" s="180">
        <f t="shared" si="6"/>
        <v>16</v>
      </c>
      <c r="V85" s="180">
        <f t="shared" si="7"/>
        <v>0</v>
      </c>
      <c r="W85" s="181">
        <f t="shared" si="8"/>
        <v>0</v>
      </c>
      <c r="X85" s="32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</row>
    <row r="86" spans="1:23" s="14" customFormat="1" ht="11.25">
      <c r="A86" s="16" t="s">
        <v>22</v>
      </c>
      <c r="B86" s="14" t="s">
        <v>8</v>
      </c>
      <c r="C86" s="14" t="s">
        <v>13</v>
      </c>
      <c r="D86" s="14">
        <v>2</v>
      </c>
      <c r="E86" s="54">
        <v>0</v>
      </c>
      <c r="F86" s="54">
        <v>0</v>
      </c>
      <c r="G86" s="54">
        <v>0</v>
      </c>
      <c r="H86" s="54">
        <v>0</v>
      </c>
      <c r="I86" s="54">
        <v>3</v>
      </c>
      <c r="J86" s="54">
        <v>0</v>
      </c>
      <c r="K86" s="54">
        <v>2</v>
      </c>
      <c r="L86" s="54">
        <v>0</v>
      </c>
      <c r="M86" s="54">
        <v>2</v>
      </c>
      <c r="N86" s="54">
        <v>0</v>
      </c>
      <c r="O86" s="54">
        <v>1</v>
      </c>
      <c r="P86" s="54">
        <v>0</v>
      </c>
      <c r="Q86" s="54">
        <v>1</v>
      </c>
      <c r="R86" s="54">
        <v>0</v>
      </c>
      <c r="S86" s="74">
        <v>0</v>
      </c>
      <c r="T86" s="180">
        <v>0</v>
      </c>
      <c r="U86" s="180">
        <f t="shared" si="6"/>
        <v>9</v>
      </c>
      <c r="V86" s="180">
        <f t="shared" si="7"/>
        <v>0</v>
      </c>
      <c r="W86" s="181">
        <f t="shared" si="8"/>
        <v>0</v>
      </c>
    </row>
    <row r="87" spans="1:37" s="14" customFormat="1" ht="11.25">
      <c r="A87" s="16" t="s">
        <v>35</v>
      </c>
      <c r="B87" s="15" t="s">
        <v>8</v>
      </c>
      <c r="C87" s="15" t="s">
        <v>11</v>
      </c>
      <c r="D87" s="15">
        <v>3</v>
      </c>
      <c r="E87" s="180">
        <v>0</v>
      </c>
      <c r="F87" s="54">
        <v>0</v>
      </c>
      <c r="G87" s="180">
        <v>0</v>
      </c>
      <c r="H87" s="54">
        <v>0</v>
      </c>
      <c r="I87" s="180">
        <v>2</v>
      </c>
      <c r="J87" s="54">
        <v>0</v>
      </c>
      <c r="K87" s="180">
        <v>2</v>
      </c>
      <c r="L87" s="180">
        <v>0</v>
      </c>
      <c r="M87" s="180">
        <v>0</v>
      </c>
      <c r="N87" s="180">
        <v>0</v>
      </c>
      <c r="O87" s="180">
        <v>0</v>
      </c>
      <c r="P87" s="180">
        <v>0</v>
      </c>
      <c r="Q87" s="180">
        <v>0</v>
      </c>
      <c r="R87" s="180">
        <v>0</v>
      </c>
      <c r="S87" s="74">
        <v>0</v>
      </c>
      <c r="T87" s="180">
        <v>0</v>
      </c>
      <c r="U87" s="180">
        <f t="shared" si="6"/>
        <v>4</v>
      </c>
      <c r="V87" s="180">
        <f t="shared" si="7"/>
        <v>0</v>
      </c>
      <c r="W87" s="181">
        <f t="shared" si="8"/>
        <v>0</v>
      </c>
      <c r="X87" s="32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</row>
    <row r="88" spans="1:37" s="14" customFormat="1" ht="11.25">
      <c r="A88" s="16" t="s">
        <v>24</v>
      </c>
      <c r="B88" s="15" t="s">
        <v>8</v>
      </c>
      <c r="C88" s="15" t="s">
        <v>25</v>
      </c>
      <c r="D88" s="15">
        <v>2</v>
      </c>
      <c r="E88" s="180">
        <v>0</v>
      </c>
      <c r="F88" s="54">
        <v>0</v>
      </c>
      <c r="G88" s="180">
        <v>0</v>
      </c>
      <c r="H88" s="54">
        <v>0</v>
      </c>
      <c r="I88" s="180">
        <v>6</v>
      </c>
      <c r="J88" s="54">
        <v>0</v>
      </c>
      <c r="K88" s="180">
        <v>4</v>
      </c>
      <c r="L88" s="180">
        <v>0</v>
      </c>
      <c r="M88" s="180">
        <v>2</v>
      </c>
      <c r="N88" s="180">
        <v>0</v>
      </c>
      <c r="O88" s="180">
        <v>2</v>
      </c>
      <c r="P88" s="180">
        <v>0</v>
      </c>
      <c r="Q88" s="180">
        <v>1</v>
      </c>
      <c r="R88" s="180">
        <v>0</v>
      </c>
      <c r="S88" s="74">
        <v>1</v>
      </c>
      <c r="T88" s="180">
        <v>0</v>
      </c>
      <c r="U88" s="180">
        <f t="shared" si="6"/>
        <v>16</v>
      </c>
      <c r="V88" s="180">
        <f t="shared" si="7"/>
        <v>0</v>
      </c>
      <c r="W88" s="181">
        <f t="shared" si="8"/>
        <v>0</v>
      </c>
      <c r="X88" s="32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</row>
    <row r="89" spans="1:37" s="14" customFormat="1" ht="11.25">
      <c r="A89" s="16" t="s">
        <v>38</v>
      </c>
      <c r="B89" s="15" t="s">
        <v>8</v>
      </c>
      <c r="C89" s="15" t="s">
        <v>25</v>
      </c>
      <c r="D89" s="15">
        <v>4</v>
      </c>
      <c r="E89" s="180">
        <v>0</v>
      </c>
      <c r="F89" s="54">
        <v>0</v>
      </c>
      <c r="G89" s="180">
        <v>0</v>
      </c>
      <c r="H89" s="54">
        <v>0</v>
      </c>
      <c r="I89" s="180">
        <v>8</v>
      </c>
      <c r="J89" s="54">
        <v>0</v>
      </c>
      <c r="K89" s="180">
        <v>4</v>
      </c>
      <c r="L89" s="180">
        <v>0</v>
      </c>
      <c r="M89" s="180">
        <v>6</v>
      </c>
      <c r="N89" s="180">
        <v>0</v>
      </c>
      <c r="O89" s="180">
        <v>2</v>
      </c>
      <c r="P89" s="180">
        <v>0</v>
      </c>
      <c r="Q89" s="180">
        <v>0</v>
      </c>
      <c r="R89" s="180">
        <v>0</v>
      </c>
      <c r="S89" s="74">
        <v>0</v>
      </c>
      <c r="T89" s="180">
        <v>0</v>
      </c>
      <c r="U89" s="180">
        <f t="shared" si="6"/>
        <v>20</v>
      </c>
      <c r="V89" s="180">
        <f t="shared" si="7"/>
        <v>0</v>
      </c>
      <c r="W89" s="181">
        <f t="shared" si="8"/>
        <v>0</v>
      </c>
      <c r="X89" s="32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</row>
    <row r="90" spans="1:37" s="14" customFormat="1" ht="11.25">
      <c r="A90" s="16" t="s">
        <v>71</v>
      </c>
      <c r="B90" s="15" t="s">
        <v>8</v>
      </c>
      <c r="C90" s="15" t="s">
        <v>25</v>
      </c>
      <c r="D90" s="15">
        <v>5</v>
      </c>
      <c r="E90" s="180">
        <v>0</v>
      </c>
      <c r="F90" s="54">
        <v>0</v>
      </c>
      <c r="G90" s="180">
        <v>0</v>
      </c>
      <c r="H90" s="54">
        <v>0</v>
      </c>
      <c r="I90" s="180">
        <v>1</v>
      </c>
      <c r="J90" s="54">
        <v>0</v>
      </c>
      <c r="K90" s="180">
        <v>1</v>
      </c>
      <c r="L90" s="180">
        <v>0</v>
      </c>
      <c r="M90" s="180">
        <v>0</v>
      </c>
      <c r="N90" s="180">
        <v>0</v>
      </c>
      <c r="O90" s="180">
        <v>0</v>
      </c>
      <c r="P90" s="180">
        <v>0</v>
      </c>
      <c r="Q90" s="180">
        <v>0</v>
      </c>
      <c r="R90" s="180">
        <v>0</v>
      </c>
      <c r="S90" s="74">
        <v>0</v>
      </c>
      <c r="T90" s="180">
        <v>0</v>
      </c>
      <c r="U90" s="180">
        <f t="shared" si="6"/>
        <v>2</v>
      </c>
      <c r="V90" s="180">
        <f t="shared" si="7"/>
        <v>0</v>
      </c>
      <c r="W90" s="181">
        <f t="shared" si="8"/>
        <v>0</v>
      </c>
      <c r="X90" s="32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</row>
    <row r="91" spans="1:23" ht="11.25">
      <c r="A91" s="33" t="s">
        <v>108</v>
      </c>
      <c r="B91" s="15" t="s">
        <v>8</v>
      </c>
      <c r="C91" s="1" t="s">
        <v>13</v>
      </c>
      <c r="D91" s="1" t="s">
        <v>15</v>
      </c>
      <c r="F91" s="54"/>
      <c r="G91" s="54"/>
      <c r="H91" s="54"/>
      <c r="I91" s="180">
        <v>1</v>
      </c>
      <c r="J91" s="54">
        <v>0</v>
      </c>
      <c r="K91" s="74">
        <v>1</v>
      </c>
      <c r="L91" s="74">
        <v>0</v>
      </c>
      <c r="T91" s="180"/>
      <c r="U91" s="180">
        <f t="shared" si="6"/>
        <v>2</v>
      </c>
      <c r="V91" s="180">
        <f t="shared" si="7"/>
        <v>0</v>
      </c>
      <c r="W91" s="181">
        <f t="shared" si="8"/>
        <v>0</v>
      </c>
    </row>
    <row r="92" spans="1:23" ht="11.25">
      <c r="A92" s="33" t="s">
        <v>159</v>
      </c>
      <c r="B92" s="15" t="s">
        <v>8</v>
      </c>
      <c r="C92" s="15" t="s">
        <v>25</v>
      </c>
      <c r="D92" s="1" t="s">
        <v>15</v>
      </c>
      <c r="E92" s="54"/>
      <c r="F92" s="54"/>
      <c r="G92" s="54"/>
      <c r="H92" s="54"/>
      <c r="I92" s="180">
        <v>1</v>
      </c>
      <c r="J92" s="54">
        <v>0</v>
      </c>
      <c r="K92" s="54">
        <v>1</v>
      </c>
      <c r="L92" s="54">
        <v>0</v>
      </c>
      <c r="M92" s="54"/>
      <c r="N92" s="54"/>
      <c r="O92" s="54"/>
      <c r="P92" s="54"/>
      <c r="T92" s="180"/>
      <c r="U92" s="180">
        <f t="shared" si="6"/>
        <v>2</v>
      </c>
      <c r="V92" s="180">
        <f t="shared" si="7"/>
        <v>0</v>
      </c>
      <c r="W92" s="181">
        <f t="shared" si="8"/>
        <v>0</v>
      </c>
    </row>
    <row r="93" spans="1:23" ht="11.25">
      <c r="A93" s="33" t="s">
        <v>154</v>
      </c>
      <c r="B93" s="15" t="s">
        <v>8</v>
      </c>
      <c r="C93" s="15" t="s">
        <v>25</v>
      </c>
      <c r="D93" s="1" t="s">
        <v>15</v>
      </c>
      <c r="F93" s="54"/>
      <c r="G93" s="54"/>
      <c r="H93" s="54"/>
      <c r="I93" s="180">
        <v>1</v>
      </c>
      <c r="J93" s="54">
        <v>0</v>
      </c>
      <c r="K93" s="74">
        <v>1</v>
      </c>
      <c r="L93" s="74">
        <v>0</v>
      </c>
      <c r="T93" s="180"/>
      <c r="U93" s="180">
        <f t="shared" si="6"/>
        <v>2</v>
      </c>
      <c r="V93" s="180">
        <f t="shared" si="7"/>
        <v>0</v>
      </c>
      <c r="W93" s="181">
        <f t="shared" si="8"/>
        <v>0</v>
      </c>
    </row>
    <row r="94" spans="1:23" ht="11.25">
      <c r="A94" s="33" t="s">
        <v>78</v>
      </c>
      <c r="B94" s="1" t="s">
        <v>8</v>
      </c>
      <c r="C94" s="1" t="s">
        <v>25</v>
      </c>
      <c r="D94" s="1" t="s">
        <v>15</v>
      </c>
      <c r="E94" s="54"/>
      <c r="F94" s="54"/>
      <c r="G94" s="54"/>
      <c r="H94" s="54"/>
      <c r="I94" s="180">
        <v>1</v>
      </c>
      <c r="J94" s="54">
        <v>0</v>
      </c>
      <c r="K94" s="54">
        <v>1</v>
      </c>
      <c r="L94" s="54">
        <v>0</v>
      </c>
      <c r="M94" s="54"/>
      <c r="N94" s="54"/>
      <c r="O94" s="54"/>
      <c r="P94" s="54"/>
      <c r="T94" s="180"/>
      <c r="U94" s="180">
        <f t="shared" si="6"/>
        <v>2</v>
      </c>
      <c r="V94" s="180">
        <f t="shared" si="7"/>
        <v>0</v>
      </c>
      <c r="W94" s="181">
        <f t="shared" si="8"/>
        <v>0</v>
      </c>
    </row>
    <row r="95" spans="1:23" ht="11.25">
      <c r="A95" s="33" t="s">
        <v>158</v>
      </c>
      <c r="B95" s="1" t="s">
        <v>8</v>
      </c>
      <c r="C95" s="1" t="s">
        <v>25</v>
      </c>
      <c r="D95" s="1" t="s">
        <v>15</v>
      </c>
      <c r="F95" s="54"/>
      <c r="G95" s="54"/>
      <c r="H95" s="54"/>
      <c r="I95" s="180">
        <v>1</v>
      </c>
      <c r="J95" s="54">
        <v>0</v>
      </c>
      <c r="T95" s="180"/>
      <c r="U95" s="180">
        <f t="shared" si="6"/>
        <v>1</v>
      </c>
      <c r="V95" s="180">
        <f t="shared" si="7"/>
        <v>0</v>
      </c>
      <c r="W95" s="181">
        <f t="shared" si="8"/>
        <v>0</v>
      </c>
    </row>
  </sheetData>
  <mergeCells count="11">
    <mergeCell ref="M1:N1"/>
    <mergeCell ref="O1:P1"/>
    <mergeCell ref="Q1:R1"/>
    <mergeCell ref="E1:F1"/>
    <mergeCell ref="G1:H1"/>
    <mergeCell ref="I1:J1"/>
    <mergeCell ref="K1:L1"/>
    <mergeCell ref="S1:T1"/>
    <mergeCell ref="U1:U3"/>
    <mergeCell ref="V1:V3"/>
    <mergeCell ref="W1:W3"/>
  </mergeCells>
  <printOptions gridLines="1"/>
  <pageMargins left="0.59" right="0.46" top="0.57" bottom="0.28" header="0.33" footer="0.27"/>
  <pageSetup orientation="landscape" paperSize="9" r:id="rId1"/>
  <headerFooter alignWithMargins="0">
    <oddHeader>&amp;CPR SCORE in %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164"/>
  <sheetViews>
    <sheetView workbookViewId="0" topLeftCell="A1">
      <pane xSplit="6" ySplit="2" topLeftCell="G69" activePane="bottomRight" state="frozen"/>
      <selection pane="topLeft" activeCell="A1" sqref="A1"/>
      <selection pane="topRight" activeCell="M1" sqref="M1"/>
      <selection pane="bottomLeft" activeCell="A3" sqref="A3"/>
      <selection pane="bottomRight" activeCell="P90" sqref="P90"/>
    </sheetView>
  </sheetViews>
  <sheetFormatPr defaultColWidth="9.140625" defaultRowHeight="12.75"/>
  <cols>
    <col min="1" max="1" width="7.57421875" style="1" customWidth="1"/>
    <col min="2" max="2" width="20.28125" style="33" customWidth="1"/>
    <col min="3" max="3" width="4.140625" style="1" customWidth="1"/>
    <col min="4" max="4" width="4.57421875" style="1" customWidth="1"/>
    <col min="5" max="5" width="6.421875" style="1" customWidth="1"/>
    <col min="6" max="6" width="4.140625" style="1" customWidth="1"/>
    <col min="7" max="7" width="9.57421875" style="1" customWidth="1"/>
    <col min="8" max="8" width="8.8515625" style="1" customWidth="1"/>
    <col min="9" max="9" width="9.421875" style="1" customWidth="1"/>
    <col min="10" max="10" width="9.00390625" style="1" customWidth="1"/>
    <col min="11" max="11" width="8.8515625" style="1" customWidth="1"/>
    <col min="12" max="12" width="10.421875" style="1" customWidth="1"/>
    <col min="13" max="13" width="10.140625" style="1" customWidth="1"/>
    <col min="14" max="14" width="10.421875" style="1" customWidth="1"/>
    <col min="15" max="16384" width="9.140625" style="11" customWidth="1"/>
  </cols>
  <sheetData>
    <row r="1" spans="1:14" ht="12.75" customHeight="1">
      <c r="A1" s="2"/>
      <c r="B1" s="3" t="s">
        <v>0</v>
      </c>
      <c r="C1" s="4" t="s">
        <v>1</v>
      </c>
      <c r="D1" s="2"/>
      <c r="E1" s="4" t="s">
        <v>2</v>
      </c>
      <c r="F1" s="4" t="s">
        <v>3</v>
      </c>
      <c r="G1" s="4"/>
      <c r="H1" s="4"/>
      <c r="I1" s="4"/>
      <c r="J1" s="4"/>
      <c r="K1" s="4"/>
      <c r="L1" s="4"/>
      <c r="M1" s="4"/>
      <c r="N1" s="4"/>
    </row>
    <row r="2" spans="1:14" ht="11.25">
      <c r="A2" s="2"/>
      <c r="B2" s="3"/>
      <c r="C2" s="4"/>
      <c r="D2" s="2"/>
      <c r="E2" s="12"/>
      <c r="F2" s="12"/>
      <c r="G2" s="12">
        <v>100</v>
      </c>
      <c r="H2" s="12">
        <v>300</v>
      </c>
      <c r="I2" s="12">
        <v>500</v>
      </c>
      <c r="J2" s="12">
        <v>1000</v>
      </c>
      <c r="K2" s="12">
        <v>1500</v>
      </c>
      <c r="L2" s="12">
        <v>3000</v>
      </c>
      <c r="M2" s="12">
        <v>5000</v>
      </c>
      <c r="N2" s="12">
        <v>10000</v>
      </c>
    </row>
    <row r="3" spans="1:14" ht="11.25">
      <c r="A3" s="1">
        <v>35575</v>
      </c>
      <c r="B3" s="33" t="s">
        <v>113</v>
      </c>
      <c r="C3" s="1" t="s">
        <v>100</v>
      </c>
      <c r="D3" s="1" t="s">
        <v>41</v>
      </c>
      <c r="E3" s="1" t="s">
        <v>114</v>
      </c>
      <c r="F3" s="1">
        <v>1</v>
      </c>
      <c r="G3" s="18">
        <v>0.0001488425925925926</v>
      </c>
      <c r="H3" s="18">
        <v>0.0003634259259259259</v>
      </c>
      <c r="I3" s="18">
        <v>0.0005648148148148148</v>
      </c>
      <c r="J3" s="37">
        <v>0.0012020833333333332</v>
      </c>
      <c r="K3" s="37"/>
      <c r="L3" s="37"/>
      <c r="M3" s="75"/>
      <c r="N3" s="75"/>
    </row>
    <row r="4" spans="1:14" ht="11.25">
      <c r="A4" s="1">
        <v>35580</v>
      </c>
      <c r="B4" s="33" t="s">
        <v>115</v>
      </c>
      <c r="C4" s="1" t="s">
        <v>96</v>
      </c>
      <c r="D4" s="1" t="s">
        <v>41</v>
      </c>
      <c r="E4" s="1" t="s">
        <v>114</v>
      </c>
      <c r="F4" s="1">
        <v>1</v>
      </c>
      <c r="G4" s="18">
        <v>0.00014814814814814815</v>
      </c>
      <c r="H4" s="18">
        <v>0.00037094907407407405</v>
      </c>
      <c r="I4" s="18">
        <v>0.0005679398148148148</v>
      </c>
      <c r="J4" s="37">
        <v>0.001195949074074074</v>
      </c>
      <c r="K4" s="37"/>
      <c r="L4" s="37"/>
      <c r="M4" s="75"/>
      <c r="N4" s="75"/>
    </row>
    <row r="5" spans="1:14" ht="11.25">
      <c r="A5" s="1">
        <v>35602</v>
      </c>
      <c r="B5" s="53" t="s">
        <v>107</v>
      </c>
      <c r="C5" s="1" t="s">
        <v>96</v>
      </c>
      <c r="D5" s="1" t="s">
        <v>41</v>
      </c>
      <c r="E5" s="1" t="s">
        <v>97</v>
      </c>
      <c r="F5" s="1">
        <v>1</v>
      </c>
      <c r="G5" s="18">
        <v>0.00014733796296296297</v>
      </c>
      <c r="H5" s="18">
        <v>0.0003489583333333333</v>
      </c>
      <c r="I5" s="18">
        <v>0.0005561342592592593</v>
      </c>
      <c r="J5" s="37">
        <v>0.0011313657407407407</v>
      </c>
      <c r="K5" s="37"/>
      <c r="L5" s="37"/>
      <c r="M5" s="75"/>
      <c r="N5" s="75"/>
    </row>
    <row r="6" spans="1:14" ht="11.25">
      <c r="A6" s="1">
        <v>35593</v>
      </c>
      <c r="B6" s="53" t="s">
        <v>118</v>
      </c>
      <c r="C6" s="1" t="s">
        <v>96</v>
      </c>
      <c r="D6" s="1" t="s">
        <v>41</v>
      </c>
      <c r="E6" s="1" t="s">
        <v>97</v>
      </c>
      <c r="F6" s="1">
        <v>1</v>
      </c>
      <c r="G6" s="18">
        <v>0.00015127314814814815</v>
      </c>
      <c r="H6" s="18">
        <v>0.00037002314814814813</v>
      </c>
      <c r="I6" s="18">
        <v>0.0005827546296296297</v>
      </c>
      <c r="J6" s="37">
        <v>0.0012296296296296296</v>
      </c>
      <c r="K6" s="37"/>
      <c r="L6" s="37"/>
      <c r="M6" s="75"/>
      <c r="N6" s="75"/>
    </row>
    <row r="7" spans="1:14" ht="11.25">
      <c r="A7" s="1">
        <v>35604</v>
      </c>
      <c r="B7" s="53" t="s">
        <v>122</v>
      </c>
      <c r="C7" s="1" t="s">
        <v>100</v>
      </c>
      <c r="D7" s="1" t="s">
        <v>41</v>
      </c>
      <c r="E7" s="1" t="s">
        <v>97</v>
      </c>
      <c r="F7" s="1">
        <v>1</v>
      </c>
      <c r="G7" s="18">
        <v>0.000146875</v>
      </c>
      <c r="H7" s="18">
        <v>0.0003695601851851852</v>
      </c>
      <c r="I7" s="18">
        <v>0.0005905092592592593</v>
      </c>
      <c r="J7" s="37">
        <v>0.0012327546296296297</v>
      </c>
      <c r="K7" s="37"/>
      <c r="L7" s="37"/>
      <c r="M7" s="75"/>
      <c r="N7" s="75"/>
    </row>
    <row r="8" spans="1:14" ht="11.25">
      <c r="A8" s="1">
        <v>35585</v>
      </c>
      <c r="B8" s="53" t="s">
        <v>142</v>
      </c>
      <c r="C8" s="1" t="s">
        <v>100</v>
      </c>
      <c r="D8" s="1" t="s">
        <v>41</v>
      </c>
      <c r="E8" s="1" t="s">
        <v>97</v>
      </c>
      <c r="F8" s="1">
        <v>2</v>
      </c>
      <c r="G8" s="18">
        <v>0.00016041666666666664</v>
      </c>
      <c r="H8" s="18">
        <v>0.0004043981481481481</v>
      </c>
      <c r="I8" s="18">
        <v>0.0006516203703703702</v>
      </c>
      <c r="J8" s="37">
        <v>0.0013586805555555557</v>
      </c>
      <c r="K8" s="37"/>
      <c r="L8" s="37"/>
      <c r="M8" s="75"/>
      <c r="N8" s="75"/>
    </row>
    <row r="9" spans="1:14" ht="11.25">
      <c r="A9" s="1">
        <v>35615</v>
      </c>
      <c r="B9" s="33" t="s">
        <v>137</v>
      </c>
      <c r="C9" s="1" t="s">
        <v>169</v>
      </c>
      <c r="D9" s="1" t="s">
        <v>41</v>
      </c>
      <c r="E9" s="1" t="s">
        <v>97</v>
      </c>
      <c r="F9" s="1">
        <v>1</v>
      </c>
      <c r="G9" s="18">
        <v>0.00015081018518518517</v>
      </c>
      <c r="H9" s="18">
        <v>0.00038854166666666665</v>
      </c>
      <c r="I9" s="18">
        <v>0.0006203703703703704</v>
      </c>
      <c r="J9" s="37">
        <v>0.0013342592592592592</v>
      </c>
      <c r="K9" s="37"/>
      <c r="L9" s="37"/>
      <c r="M9" s="75"/>
      <c r="N9" s="75"/>
    </row>
    <row r="10" spans="1:14" ht="11.25">
      <c r="A10" s="1">
        <v>35616</v>
      </c>
      <c r="B10" s="33" t="s">
        <v>124</v>
      </c>
      <c r="C10" s="1" t="s">
        <v>96</v>
      </c>
      <c r="D10" s="1" t="s">
        <v>41</v>
      </c>
      <c r="E10" s="1" t="s">
        <v>97</v>
      </c>
      <c r="F10" s="1">
        <v>1</v>
      </c>
      <c r="G10" s="18">
        <v>0.00015543981481481482</v>
      </c>
      <c r="H10" s="18">
        <v>0.0004333333333333333</v>
      </c>
      <c r="I10" s="18">
        <v>0.0006114583333333333</v>
      </c>
      <c r="J10" s="37">
        <v>0.0012417824074074074</v>
      </c>
      <c r="K10" s="37"/>
      <c r="L10" s="37"/>
      <c r="M10" s="75"/>
      <c r="N10" s="75"/>
    </row>
    <row r="11" spans="1:14" ht="11.25">
      <c r="A11" s="1">
        <v>35631</v>
      </c>
      <c r="B11" s="33" t="s">
        <v>145</v>
      </c>
      <c r="C11" s="1" t="s">
        <v>96</v>
      </c>
      <c r="D11" s="1" t="s">
        <v>41</v>
      </c>
      <c r="E11" s="1" t="s">
        <v>97</v>
      </c>
      <c r="F11" s="1">
        <v>2</v>
      </c>
      <c r="G11" s="18">
        <v>0.0001625</v>
      </c>
      <c r="H11" s="18">
        <v>0.0004293981481481482</v>
      </c>
      <c r="I11" s="18">
        <v>0.0006454861111111112</v>
      </c>
      <c r="J11" s="37">
        <v>0.0013763888888888888</v>
      </c>
      <c r="K11" s="37"/>
      <c r="L11" s="37"/>
      <c r="M11" s="75"/>
      <c r="N11" s="75"/>
    </row>
    <row r="12" spans="1:14" ht="11.25">
      <c r="A12" s="1">
        <v>35594</v>
      </c>
      <c r="B12" s="53" t="s">
        <v>151</v>
      </c>
      <c r="C12" s="1" t="s">
        <v>96</v>
      </c>
      <c r="D12" s="1" t="s">
        <v>41</v>
      </c>
      <c r="E12" s="1" t="s">
        <v>97</v>
      </c>
      <c r="F12" s="1">
        <v>3</v>
      </c>
      <c r="G12" s="18">
        <v>0.00016527777777777775</v>
      </c>
      <c r="H12" s="18">
        <v>0.00043773148148148143</v>
      </c>
      <c r="I12" s="18">
        <v>0.0006840277777777778</v>
      </c>
      <c r="J12" s="37">
        <v>0.0014550925925925927</v>
      </c>
      <c r="K12" s="37"/>
      <c r="L12" s="37"/>
      <c r="M12" s="75"/>
      <c r="N12" s="75"/>
    </row>
    <row r="13" spans="1:14" ht="11.25">
      <c r="A13" s="1">
        <v>35618</v>
      </c>
      <c r="B13" s="33" t="s">
        <v>99</v>
      </c>
      <c r="C13" s="1" t="s">
        <v>169</v>
      </c>
      <c r="D13" s="1" t="s">
        <v>41</v>
      </c>
      <c r="E13" s="1" t="s">
        <v>97</v>
      </c>
      <c r="F13" s="1">
        <v>3</v>
      </c>
      <c r="G13" s="18">
        <v>0.0001615740740740741</v>
      </c>
      <c r="H13" s="18">
        <v>0.0004116898148148148</v>
      </c>
      <c r="I13" s="18">
        <v>0.0006777777777777779</v>
      </c>
      <c r="J13" s="37">
        <v>0.0014738425925925926</v>
      </c>
      <c r="K13" s="37"/>
      <c r="L13" s="37"/>
      <c r="M13" s="75"/>
      <c r="N13" s="75"/>
    </row>
    <row r="14" spans="1:14" ht="11.25">
      <c r="A14" s="1">
        <v>35620</v>
      </c>
      <c r="B14" s="33" t="s">
        <v>144</v>
      </c>
      <c r="C14" s="1" t="s">
        <v>96</v>
      </c>
      <c r="D14" s="1" t="s">
        <v>41</v>
      </c>
      <c r="E14" s="1" t="s">
        <v>97</v>
      </c>
      <c r="F14" s="1">
        <v>2</v>
      </c>
      <c r="G14" s="18">
        <v>0.00015821759259259258</v>
      </c>
      <c r="H14" s="18">
        <v>0.00040451388888888893</v>
      </c>
      <c r="I14" s="18">
        <v>0.0006527777777777777</v>
      </c>
      <c r="J14" s="37">
        <v>0.0013613425925925926</v>
      </c>
      <c r="K14" s="37"/>
      <c r="L14" s="37"/>
      <c r="M14" s="75"/>
      <c r="N14" s="75"/>
    </row>
    <row r="15" spans="1:14" ht="11.25">
      <c r="A15" s="1">
        <v>35609</v>
      </c>
      <c r="B15" s="33" t="s">
        <v>95</v>
      </c>
      <c r="C15" s="1" t="s">
        <v>100</v>
      </c>
      <c r="D15" s="1" t="s">
        <v>41</v>
      </c>
      <c r="E15" s="1" t="s">
        <v>97</v>
      </c>
      <c r="F15" s="1">
        <v>3</v>
      </c>
      <c r="G15" s="18">
        <v>0.00016759259259259258</v>
      </c>
      <c r="H15" s="18">
        <v>0.00044502314814814817</v>
      </c>
      <c r="I15" s="18">
        <v>0.0006702546296296296</v>
      </c>
      <c r="J15" s="37">
        <v>0.0014630787037037036</v>
      </c>
      <c r="K15" s="37"/>
      <c r="L15" s="37"/>
      <c r="M15" s="75"/>
      <c r="N15" s="75"/>
    </row>
    <row r="16" spans="1:14" ht="11.25">
      <c r="A16" s="1">
        <v>35626</v>
      </c>
      <c r="B16" s="33" t="s">
        <v>132</v>
      </c>
      <c r="C16" s="1" t="s">
        <v>100</v>
      </c>
      <c r="D16" s="1" t="s">
        <v>41</v>
      </c>
      <c r="E16" s="1" t="s">
        <v>97</v>
      </c>
      <c r="F16" s="1">
        <v>3</v>
      </c>
      <c r="G16" s="18">
        <v>0.00017372685185185186</v>
      </c>
      <c r="H16" s="18">
        <v>0.0004494212962962963</v>
      </c>
      <c r="I16" s="37">
        <v>0.0007092592592592593</v>
      </c>
      <c r="J16" s="37">
        <v>0.0015471064814814816</v>
      </c>
      <c r="K16" s="37"/>
      <c r="L16" s="37"/>
      <c r="M16" s="75"/>
      <c r="N16" s="75"/>
    </row>
    <row r="17" spans="1:14" ht="11.25">
      <c r="A17" s="1">
        <v>35613</v>
      </c>
      <c r="B17" s="33" t="s">
        <v>130</v>
      </c>
      <c r="C17" s="1" t="s">
        <v>169</v>
      </c>
      <c r="D17" s="1" t="s">
        <v>41</v>
      </c>
      <c r="E17" s="1" t="s">
        <v>97</v>
      </c>
      <c r="F17" s="1">
        <v>3</v>
      </c>
      <c r="G17" s="18">
        <v>0.0001619212962962963</v>
      </c>
      <c r="H17" s="18">
        <v>0.0004251157407407407</v>
      </c>
      <c r="I17" s="37">
        <v>0.0007098379629629629</v>
      </c>
      <c r="J17" s="37">
        <v>0.0015422453703703703</v>
      </c>
      <c r="K17" s="37"/>
      <c r="L17" s="37"/>
      <c r="M17" s="75"/>
      <c r="N17" s="75"/>
    </row>
    <row r="18" spans="1:14" ht="11.25">
      <c r="A18" s="1">
        <v>35621</v>
      </c>
      <c r="B18" s="33" t="s">
        <v>161</v>
      </c>
      <c r="C18" s="1" t="s">
        <v>100</v>
      </c>
      <c r="D18" s="1" t="s">
        <v>41</v>
      </c>
      <c r="E18" s="1" t="s">
        <v>97</v>
      </c>
      <c r="F18" s="1">
        <v>4</v>
      </c>
      <c r="G18" s="18">
        <v>0.00017719907407407406</v>
      </c>
      <c r="H18" s="18">
        <v>0.00045474537037037033</v>
      </c>
      <c r="I18" s="37">
        <v>0.0007737268518518519</v>
      </c>
      <c r="J18" s="37"/>
      <c r="K18" s="37"/>
      <c r="L18" s="37"/>
      <c r="M18" s="75"/>
      <c r="N18" s="75"/>
    </row>
    <row r="19" spans="1:14" s="14" customFormat="1" ht="11.25">
      <c r="A19" s="14">
        <v>35552</v>
      </c>
      <c r="B19" s="16" t="s">
        <v>101</v>
      </c>
      <c r="C19" s="14" t="s">
        <v>96</v>
      </c>
      <c r="D19" s="14" t="s">
        <v>8</v>
      </c>
      <c r="E19" s="14" t="s">
        <v>114</v>
      </c>
      <c r="F19" s="14">
        <v>1</v>
      </c>
      <c r="G19" s="42">
        <v>0.00013113425925925925</v>
      </c>
      <c r="H19" s="42">
        <v>0.00032233796296296296</v>
      </c>
      <c r="I19" s="42">
        <v>0.0004958333333333334</v>
      </c>
      <c r="J19" s="44">
        <v>0.0010202546296296296</v>
      </c>
      <c r="K19" s="44"/>
      <c r="L19" s="44"/>
      <c r="M19" s="41"/>
      <c r="N19" s="41"/>
    </row>
    <row r="20" spans="1:14" ht="11.25">
      <c r="A20" s="1">
        <v>35597</v>
      </c>
      <c r="B20" s="62" t="s">
        <v>106</v>
      </c>
      <c r="C20" s="1" t="s">
        <v>96</v>
      </c>
      <c r="D20" s="1" t="s">
        <v>8</v>
      </c>
      <c r="E20" s="1" t="s">
        <v>97</v>
      </c>
      <c r="F20" s="1">
        <v>1</v>
      </c>
      <c r="G20" s="18">
        <v>0.0001398148148148148</v>
      </c>
      <c r="H20" s="18">
        <v>0.0003465277777777778</v>
      </c>
      <c r="I20" s="18">
        <v>0.0005526620370370369</v>
      </c>
      <c r="J20" s="37">
        <v>0.0011103009259259258</v>
      </c>
      <c r="K20" s="37"/>
      <c r="L20" s="37"/>
      <c r="M20" s="75"/>
      <c r="N20" s="75"/>
    </row>
    <row r="21" spans="1:14" ht="11.25">
      <c r="A21" s="1">
        <v>35540</v>
      </c>
      <c r="B21" s="33" t="s">
        <v>127</v>
      </c>
      <c r="C21" s="1" t="s">
        <v>100</v>
      </c>
      <c r="D21" s="1" t="s">
        <v>8</v>
      </c>
      <c r="E21" s="1" t="s">
        <v>114</v>
      </c>
      <c r="F21" s="1">
        <v>1</v>
      </c>
      <c r="G21" s="18">
        <v>0.00015578703703703704</v>
      </c>
      <c r="H21" s="18">
        <v>0.0003791666666666666</v>
      </c>
      <c r="I21" s="18">
        <v>0.0005966435185185185</v>
      </c>
      <c r="J21" s="37">
        <v>0.0012859953703703705</v>
      </c>
      <c r="K21" s="37"/>
      <c r="L21" s="37"/>
      <c r="M21" s="75"/>
      <c r="N21" s="75"/>
    </row>
    <row r="22" spans="1:14" ht="11.25">
      <c r="A22" s="1">
        <v>35633</v>
      </c>
      <c r="B22" s="62" t="s">
        <v>135</v>
      </c>
      <c r="C22" s="1" t="s">
        <v>96</v>
      </c>
      <c r="D22" s="1" t="s">
        <v>8</v>
      </c>
      <c r="E22" s="1" t="s">
        <v>97</v>
      </c>
      <c r="F22" s="1">
        <v>2</v>
      </c>
      <c r="G22" s="18">
        <v>0.00016331018518518517</v>
      </c>
      <c r="H22" s="18">
        <v>0.0003986111111111111</v>
      </c>
      <c r="I22" s="18">
        <v>0.0006383101851851852</v>
      </c>
      <c r="J22" s="37">
        <v>0.001274074074074074</v>
      </c>
      <c r="K22" s="37"/>
      <c r="L22" s="37"/>
      <c r="M22" s="75"/>
      <c r="N22" s="75"/>
    </row>
    <row r="23" spans="1:14" ht="11.25">
      <c r="A23" s="1">
        <v>35627</v>
      </c>
      <c r="B23" s="33" t="s">
        <v>98</v>
      </c>
      <c r="C23" s="1" t="s">
        <v>100</v>
      </c>
      <c r="D23" s="1" t="s">
        <v>8</v>
      </c>
      <c r="E23" s="1" t="s">
        <v>97</v>
      </c>
      <c r="F23" s="1">
        <v>3</v>
      </c>
      <c r="G23" s="18">
        <v>0.00014467592592592594</v>
      </c>
      <c r="H23" s="18">
        <v>0.0004006944444444444</v>
      </c>
      <c r="I23" s="18">
        <v>0.0006648148148148147</v>
      </c>
      <c r="J23" s="37">
        <v>0.001483101851851852</v>
      </c>
      <c r="K23" s="37"/>
      <c r="L23" s="37"/>
      <c r="M23" s="75"/>
      <c r="N23" s="75"/>
    </row>
    <row r="24" spans="1:14" ht="11.25">
      <c r="A24" s="1">
        <v>35587</v>
      </c>
      <c r="B24" s="53" t="s">
        <v>148</v>
      </c>
      <c r="C24" s="1" t="s">
        <v>96</v>
      </c>
      <c r="D24" s="1" t="s">
        <v>8</v>
      </c>
      <c r="E24" s="1" t="s">
        <v>97</v>
      </c>
      <c r="F24" s="1">
        <v>3</v>
      </c>
      <c r="G24" s="18">
        <v>0.0001579861111111111</v>
      </c>
      <c r="H24" s="18">
        <v>0.0004070601851851852</v>
      </c>
      <c r="I24" s="18">
        <v>0.0006503472222222222</v>
      </c>
      <c r="J24" s="37">
        <v>0.0014091435185185186</v>
      </c>
      <c r="K24" s="37"/>
      <c r="L24" s="37"/>
      <c r="M24" s="75"/>
      <c r="N24" s="75"/>
    </row>
    <row r="25" spans="1:14" ht="11.25">
      <c r="A25" s="1">
        <v>35622</v>
      </c>
      <c r="B25" s="33" t="s">
        <v>126</v>
      </c>
      <c r="C25" s="1" t="s">
        <v>96</v>
      </c>
      <c r="D25" s="1" t="s">
        <v>8</v>
      </c>
      <c r="E25" s="1" t="s">
        <v>97</v>
      </c>
      <c r="F25" s="1">
        <v>4</v>
      </c>
      <c r="G25" s="18">
        <v>0.00016064814814814815</v>
      </c>
      <c r="H25" s="18">
        <v>0.0004313657407407408</v>
      </c>
      <c r="I25" s="37">
        <v>0.0007086805555555556</v>
      </c>
      <c r="J25" s="37">
        <v>0.0015177083333333336</v>
      </c>
      <c r="K25" s="37"/>
      <c r="L25" s="37"/>
      <c r="M25" s="75"/>
      <c r="N25" s="75"/>
    </row>
    <row r="26" spans="1:14" ht="11.25">
      <c r="A26" s="1">
        <v>35624</v>
      </c>
      <c r="B26" s="33" t="s">
        <v>143</v>
      </c>
      <c r="C26" s="1" t="s">
        <v>100</v>
      </c>
      <c r="D26" s="1" t="s">
        <v>8</v>
      </c>
      <c r="E26" s="1" t="s">
        <v>97</v>
      </c>
      <c r="F26" s="1">
        <v>2</v>
      </c>
      <c r="G26" s="18">
        <v>0.00015706018518518518</v>
      </c>
      <c r="H26" s="18">
        <v>0.0004144675925925926</v>
      </c>
      <c r="I26" s="18">
        <v>0.0006388888888888889</v>
      </c>
      <c r="J26" s="37">
        <v>0.0013887731481481483</v>
      </c>
      <c r="K26" s="37"/>
      <c r="L26" s="37"/>
      <c r="M26" s="75"/>
      <c r="N26" s="75"/>
    </row>
    <row r="27" spans="1:14" ht="11.25">
      <c r="A27" s="1">
        <v>35625</v>
      </c>
      <c r="B27" s="33" t="s">
        <v>125</v>
      </c>
      <c r="C27" s="1" t="s">
        <v>100</v>
      </c>
      <c r="D27" s="1" t="s">
        <v>8</v>
      </c>
      <c r="E27" s="1" t="s">
        <v>97</v>
      </c>
      <c r="F27" s="1">
        <v>2</v>
      </c>
      <c r="G27" s="18">
        <v>0.00015046296296296297</v>
      </c>
      <c r="H27" s="18">
        <v>0.0003862268518518518</v>
      </c>
      <c r="I27" s="18">
        <v>0.0006091435185185185</v>
      </c>
      <c r="J27" s="37">
        <v>0.001252199074074074</v>
      </c>
      <c r="K27" s="37"/>
      <c r="L27" s="37"/>
      <c r="M27" s="75"/>
      <c r="N27" s="75"/>
    </row>
    <row r="28" spans="2:14" ht="11.25">
      <c r="B28" s="16" t="s">
        <v>168</v>
      </c>
      <c r="C28" s="15" t="s">
        <v>174</v>
      </c>
      <c r="D28" s="15" t="s">
        <v>41</v>
      </c>
      <c r="E28" s="15" t="s">
        <v>114</v>
      </c>
      <c r="F28" s="15" t="s">
        <v>163</v>
      </c>
      <c r="G28" s="24">
        <v>0.00017800925925925927</v>
      </c>
      <c r="H28" s="24">
        <v>0.0004966435185185185</v>
      </c>
      <c r="I28" s="24"/>
      <c r="J28" s="27"/>
      <c r="K28" s="27"/>
      <c r="L28" s="27"/>
      <c r="M28" s="29"/>
      <c r="N28" s="29"/>
    </row>
    <row r="29" spans="2:14" ht="11.25">
      <c r="B29" s="16" t="s">
        <v>170</v>
      </c>
      <c r="C29" s="15" t="s">
        <v>174</v>
      </c>
      <c r="D29" s="15" t="s">
        <v>41</v>
      </c>
      <c r="E29" s="15" t="s">
        <v>114</v>
      </c>
      <c r="F29" s="15" t="s">
        <v>163</v>
      </c>
      <c r="G29" s="24">
        <v>0.0001890046296296296</v>
      </c>
      <c r="H29" s="24">
        <v>0.0005127314814814814</v>
      </c>
      <c r="I29" s="24"/>
      <c r="J29" s="27"/>
      <c r="K29" s="27"/>
      <c r="L29" s="27"/>
      <c r="M29" s="29"/>
      <c r="N29" s="29"/>
    </row>
    <row r="30" spans="2:14" ht="11.25">
      <c r="B30" s="16" t="s">
        <v>171</v>
      </c>
      <c r="C30" s="15" t="s">
        <v>174</v>
      </c>
      <c r="D30" s="15" t="s">
        <v>8</v>
      </c>
      <c r="E30" s="15" t="s">
        <v>114</v>
      </c>
      <c r="F30" s="15" t="s">
        <v>163</v>
      </c>
      <c r="G30" s="24">
        <v>0.00017881944444444445</v>
      </c>
      <c r="H30" s="24">
        <v>0.0005104166666666667</v>
      </c>
      <c r="I30" s="24"/>
      <c r="J30" s="27"/>
      <c r="K30" s="27"/>
      <c r="L30" s="27"/>
      <c r="M30" s="29"/>
      <c r="N30" s="29"/>
    </row>
    <row r="31" spans="2:14" ht="11.25">
      <c r="B31" s="16" t="s">
        <v>172</v>
      </c>
      <c r="C31" s="15" t="s">
        <v>174</v>
      </c>
      <c r="D31" s="15" t="s">
        <v>8</v>
      </c>
      <c r="E31" s="15" t="s">
        <v>114</v>
      </c>
      <c r="F31" s="15" t="s">
        <v>163</v>
      </c>
      <c r="G31" s="24">
        <v>0.00021296296296296295</v>
      </c>
      <c r="H31" s="24">
        <v>0.0005872685185185185</v>
      </c>
      <c r="I31" s="24"/>
      <c r="J31" s="27"/>
      <c r="K31" s="27"/>
      <c r="L31" s="27"/>
      <c r="M31" s="29"/>
      <c r="N31" s="29"/>
    </row>
    <row r="32" spans="2:14" ht="11.25">
      <c r="B32" s="16" t="s">
        <v>162</v>
      </c>
      <c r="C32" s="15" t="s">
        <v>169</v>
      </c>
      <c r="D32" s="15" t="s">
        <v>8</v>
      </c>
      <c r="E32" s="15" t="s">
        <v>114</v>
      </c>
      <c r="F32" s="15" t="s">
        <v>163</v>
      </c>
      <c r="G32" s="24">
        <v>0.00017662037037037039</v>
      </c>
      <c r="H32" s="24"/>
      <c r="I32" s="27">
        <v>0.0008386574074074074</v>
      </c>
      <c r="J32" s="27"/>
      <c r="K32" s="27"/>
      <c r="L32" s="27"/>
      <c r="M32" s="29"/>
      <c r="N32" s="29"/>
    </row>
    <row r="33" spans="2:14" ht="11.25">
      <c r="B33" s="16" t="s">
        <v>164</v>
      </c>
      <c r="C33" s="15" t="s">
        <v>169</v>
      </c>
      <c r="D33" s="15" t="s">
        <v>8</v>
      </c>
      <c r="E33" s="15" t="s">
        <v>114</v>
      </c>
      <c r="F33" s="15" t="s">
        <v>163</v>
      </c>
      <c r="G33" s="24">
        <v>0.00018530092592592597</v>
      </c>
      <c r="H33" s="24"/>
      <c r="I33" s="27">
        <v>0.0008843750000000001</v>
      </c>
      <c r="J33" s="27"/>
      <c r="K33" s="27"/>
      <c r="L33" s="27"/>
      <c r="M33" s="29"/>
      <c r="N33" s="29"/>
    </row>
    <row r="34" spans="1:14" s="14" customFormat="1" ht="11.25">
      <c r="A34" s="15">
        <v>35363</v>
      </c>
      <c r="B34" s="16" t="s">
        <v>40</v>
      </c>
      <c r="C34" s="15">
        <v>2</v>
      </c>
      <c r="D34" s="15" t="s">
        <v>41</v>
      </c>
      <c r="E34" s="15" t="s">
        <v>18</v>
      </c>
      <c r="F34" s="1" t="s">
        <v>15</v>
      </c>
      <c r="G34" s="18">
        <v>0.0001310185185185185</v>
      </c>
      <c r="H34" s="18">
        <v>0.0003136574074074074</v>
      </c>
      <c r="I34" s="18">
        <v>0.0005002314814814814</v>
      </c>
      <c r="J34" s="37">
        <v>0.0010230324074074074</v>
      </c>
      <c r="K34" s="37">
        <v>0.0016079861111111112</v>
      </c>
      <c r="L34" s="37">
        <v>0.003484490740740741</v>
      </c>
      <c r="M34" s="75"/>
      <c r="N34" s="75"/>
    </row>
    <row r="35" spans="1:14" s="14" customFormat="1" ht="11.25">
      <c r="A35" s="15">
        <v>35337</v>
      </c>
      <c r="B35" s="16" t="s">
        <v>65</v>
      </c>
      <c r="C35" s="15">
        <v>1</v>
      </c>
      <c r="D35" s="15" t="s">
        <v>41</v>
      </c>
      <c r="E35" s="15" t="s">
        <v>18</v>
      </c>
      <c r="F35" s="1" t="s">
        <v>15</v>
      </c>
      <c r="G35" s="18">
        <v>0.0001375</v>
      </c>
      <c r="H35" s="18">
        <v>0.00033634259259259256</v>
      </c>
      <c r="I35" s="18">
        <v>0.0005261574074074074</v>
      </c>
      <c r="J35" s="37">
        <v>0.001090625</v>
      </c>
      <c r="K35" s="37">
        <v>0.0016875</v>
      </c>
      <c r="L35" s="37"/>
      <c r="M35" s="75"/>
      <c r="N35" s="75"/>
    </row>
    <row r="36" spans="1:14" s="14" customFormat="1" ht="11.25">
      <c r="A36" s="15">
        <v>35318</v>
      </c>
      <c r="B36" s="16" t="s">
        <v>75</v>
      </c>
      <c r="C36" s="15">
        <v>2</v>
      </c>
      <c r="D36" s="15" t="s">
        <v>41</v>
      </c>
      <c r="E36" s="15" t="s">
        <v>18</v>
      </c>
      <c r="F36" s="15">
        <v>1</v>
      </c>
      <c r="G36" s="24">
        <v>0.00014050925925925925</v>
      </c>
      <c r="H36" s="24">
        <v>0.0003523148148148148</v>
      </c>
      <c r="I36" s="24">
        <v>0.000553125</v>
      </c>
      <c r="J36" s="27">
        <v>0.0011060185185185185</v>
      </c>
      <c r="K36" s="27">
        <v>0.001710648148148148</v>
      </c>
      <c r="L36" s="27">
        <v>0.003666203703703704</v>
      </c>
      <c r="M36" s="29"/>
      <c r="N36" s="29"/>
    </row>
    <row r="37" spans="1:14" ht="11.25">
      <c r="A37" s="72">
        <v>35599</v>
      </c>
      <c r="B37" s="73" t="s">
        <v>91</v>
      </c>
      <c r="D37" s="74" t="s">
        <v>41</v>
      </c>
      <c r="E37" s="74" t="s">
        <v>140</v>
      </c>
      <c r="F37" s="1" t="s">
        <v>15</v>
      </c>
      <c r="G37" s="18">
        <v>0.00016469907407407408</v>
      </c>
      <c r="H37" s="18"/>
      <c r="I37" s="18">
        <v>0.0006284722222222222</v>
      </c>
      <c r="J37" s="37">
        <v>0.001292361111111111</v>
      </c>
      <c r="K37" s="37">
        <v>0.0019184027777777778</v>
      </c>
      <c r="L37" s="37"/>
      <c r="M37" s="37"/>
      <c r="N37" s="75"/>
    </row>
    <row r="38" spans="1:14" s="14" customFormat="1" ht="11.25">
      <c r="A38" s="15">
        <v>35451</v>
      </c>
      <c r="B38" s="16" t="s">
        <v>109</v>
      </c>
      <c r="C38" s="15">
        <v>2</v>
      </c>
      <c r="D38" s="15" t="s">
        <v>8</v>
      </c>
      <c r="E38" s="15" t="s">
        <v>18</v>
      </c>
      <c r="F38" s="1" t="s">
        <v>15</v>
      </c>
      <c r="G38" s="18">
        <v>0.00015081018518518517</v>
      </c>
      <c r="H38" s="18">
        <v>0.00038541666666666667</v>
      </c>
      <c r="I38" s="18">
        <v>0.0005622685185185185</v>
      </c>
      <c r="J38" s="37">
        <v>0.0011542824074074075</v>
      </c>
      <c r="K38" s="37"/>
      <c r="L38" s="37"/>
      <c r="M38" s="75"/>
      <c r="N38" s="75"/>
    </row>
    <row r="39" spans="1:14" s="14" customFormat="1" ht="11.25">
      <c r="A39" s="15">
        <v>35364</v>
      </c>
      <c r="B39" s="16" t="s">
        <v>117</v>
      </c>
      <c r="C39" s="15">
        <v>1</v>
      </c>
      <c r="D39" s="15" t="s">
        <v>8</v>
      </c>
      <c r="E39" s="15" t="s">
        <v>18</v>
      </c>
      <c r="F39" s="1" t="s">
        <v>15</v>
      </c>
      <c r="G39" s="18">
        <v>0.0001513888888888889</v>
      </c>
      <c r="H39" s="18">
        <v>0.0003864583333333333</v>
      </c>
      <c r="I39" s="18">
        <v>0.0005957175925925926</v>
      </c>
      <c r="J39" s="37">
        <v>0.0011849537037037037</v>
      </c>
      <c r="K39" s="37"/>
      <c r="L39" s="37"/>
      <c r="M39" s="75"/>
      <c r="N39" s="75"/>
    </row>
    <row r="40" spans="1:14" ht="11.25">
      <c r="A40" s="1">
        <v>35549</v>
      </c>
      <c r="B40" s="33" t="s">
        <v>139</v>
      </c>
      <c r="D40" s="15" t="s">
        <v>8</v>
      </c>
      <c r="E40" s="1" t="s">
        <v>140</v>
      </c>
      <c r="F40" s="1" t="s">
        <v>15</v>
      </c>
      <c r="G40" s="18"/>
      <c r="H40" s="18"/>
      <c r="I40" s="18">
        <v>0.000617013888888889</v>
      </c>
      <c r="J40" s="37">
        <v>0.0013776620370370368</v>
      </c>
      <c r="K40" s="37"/>
      <c r="L40" s="37"/>
      <c r="M40" s="75"/>
      <c r="N40" s="75"/>
    </row>
    <row r="41" spans="1:14" s="14" customFormat="1" ht="11.25">
      <c r="A41" s="15">
        <v>35330</v>
      </c>
      <c r="B41" s="16" t="s">
        <v>17</v>
      </c>
      <c r="C41" s="15">
        <v>1</v>
      </c>
      <c r="D41" s="15" t="s">
        <v>8</v>
      </c>
      <c r="E41" s="15" t="s">
        <v>18</v>
      </c>
      <c r="F41" s="15">
        <v>1</v>
      </c>
      <c r="G41" s="24">
        <v>0.0001261574074074074</v>
      </c>
      <c r="H41" s="24">
        <v>0.00029710648148148147</v>
      </c>
      <c r="I41" s="24">
        <v>0.0004605324074074074</v>
      </c>
      <c r="J41" s="27">
        <v>0.0009069444444444445</v>
      </c>
      <c r="K41" s="27">
        <v>0.0014212962962962964</v>
      </c>
      <c r="L41" s="27">
        <v>0.0030416666666666665</v>
      </c>
      <c r="M41" s="29"/>
      <c r="N41" s="29"/>
    </row>
    <row r="42" spans="1:14" s="14" customFormat="1" ht="11.25">
      <c r="A42" s="15">
        <v>35408</v>
      </c>
      <c r="B42" s="16" t="s">
        <v>19</v>
      </c>
      <c r="C42" s="15">
        <v>2</v>
      </c>
      <c r="D42" s="15" t="s">
        <v>8</v>
      </c>
      <c r="E42" s="15" t="s">
        <v>18</v>
      </c>
      <c r="F42" s="15">
        <v>1</v>
      </c>
      <c r="G42" s="24">
        <v>0.00012268518518518517</v>
      </c>
      <c r="H42" s="24">
        <v>0.0002974537037037037</v>
      </c>
      <c r="I42" s="24">
        <v>0.0004608796296296296</v>
      </c>
      <c r="J42" s="27">
        <v>0.0009174768518518517</v>
      </c>
      <c r="K42" s="27">
        <v>0.0014243055555555556</v>
      </c>
      <c r="L42" s="27">
        <v>0.0030292824074074076</v>
      </c>
      <c r="M42" s="29">
        <v>0.005278935185185185</v>
      </c>
      <c r="N42" s="29"/>
    </row>
    <row r="43" spans="1:14" s="14" customFormat="1" ht="11.25">
      <c r="A43" s="15">
        <v>35291</v>
      </c>
      <c r="B43" s="16" t="s">
        <v>20</v>
      </c>
      <c r="C43" s="15">
        <v>2</v>
      </c>
      <c r="D43" s="15" t="s">
        <v>8</v>
      </c>
      <c r="E43" s="15" t="s">
        <v>18</v>
      </c>
      <c r="F43" s="15">
        <v>1</v>
      </c>
      <c r="G43" s="24">
        <v>0.00012083333333333332</v>
      </c>
      <c r="H43" s="24">
        <v>0.00029293981481481483</v>
      </c>
      <c r="I43" s="24">
        <v>0.0004606481481481482</v>
      </c>
      <c r="J43" s="27">
        <v>0.0009268518518518519</v>
      </c>
      <c r="K43" s="27">
        <v>0.0014212962962962964</v>
      </c>
      <c r="L43" s="27">
        <v>0.0030292824074074076</v>
      </c>
      <c r="M43" s="29">
        <v>0.005233449074074074</v>
      </c>
      <c r="N43" s="29"/>
    </row>
    <row r="44" spans="1:14" s="14" customFormat="1" ht="11.25">
      <c r="A44" s="15">
        <v>35283</v>
      </c>
      <c r="B44" s="16" t="s">
        <v>30</v>
      </c>
      <c r="C44" s="15">
        <v>2</v>
      </c>
      <c r="D44" s="15" t="s">
        <v>8</v>
      </c>
      <c r="E44" s="15" t="s">
        <v>18</v>
      </c>
      <c r="F44" s="15">
        <v>1</v>
      </c>
      <c r="G44" s="24">
        <v>0.00012384259259259258</v>
      </c>
      <c r="H44" s="24">
        <v>0.00030092592592592595</v>
      </c>
      <c r="I44" s="24">
        <v>0.00047685185185185195</v>
      </c>
      <c r="J44" s="27">
        <v>0.0009751157407407408</v>
      </c>
      <c r="K44" s="27">
        <v>0.0015230324074074072</v>
      </c>
      <c r="L44" s="27">
        <v>0.003265046296296296</v>
      </c>
      <c r="M44" s="29">
        <v>0.005614699074074074</v>
      </c>
      <c r="N44" s="29"/>
    </row>
    <row r="45" spans="1:14" s="14" customFormat="1" ht="11.25">
      <c r="A45" s="15">
        <v>35310</v>
      </c>
      <c r="B45" s="16" t="s">
        <v>32</v>
      </c>
      <c r="C45" s="15">
        <v>2</v>
      </c>
      <c r="D45" s="15" t="s">
        <v>8</v>
      </c>
      <c r="E45" s="15" t="s">
        <v>18</v>
      </c>
      <c r="F45" s="1" t="s">
        <v>15</v>
      </c>
      <c r="G45" s="18">
        <v>0.00012546296296296296</v>
      </c>
      <c r="H45" s="18">
        <v>0.0003033564814814815</v>
      </c>
      <c r="I45" s="18">
        <v>0.00048124999999999996</v>
      </c>
      <c r="J45" s="37">
        <v>0.000986111111111111</v>
      </c>
      <c r="K45" s="37">
        <v>0.0015409722222222222</v>
      </c>
      <c r="L45" s="37">
        <v>0.003315509259259259</v>
      </c>
      <c r="M45" s="75"/>
      <c r="N45" s="75"/>
    </row>
    <row r="46" spans="1:14" s="14" customFormat="1" ht="11.25">
      <c r="A46" s="15">
        <v>35413</v>
      </c>
      <c r="B46" s="16" t="s">
        <v>37</v>
      </c>
      <c r="C46" s="15">
        <v>2</v>
      </c>
      <c r="D46" s="15" t="s">
        <v>8</v>
      </c>
      <c r="E46" s="15" t="s">
        <v>18</v>
      </c>
      <c r="F46" s="15">
        <v>2</v>
      </c>
      <c r="G46" s="24">
        <v>0.0001269675925925926</v>
      </c>
      <c r="H46" s="24">
        <v>0.00031122685185185187</v>
      </c>
      <c r="I46" s="24">
        <v>0.0004880787037037037</v>
      </c>
      <c r="J46" s="27">
        <v>0.0010011574074074074</v>
      </c>
      <c r="K46" s="27">
        <v>0.0015570601851851854</v>
      </c>
      <c r="L46" s="27">
        <v>0.0033670138888888886</v>
      </c>
      <c r="M46" s="29"/>
      <c r="N46" s="29"/>
    </row>
    <row r="47" spans="1:14" s="14" customFormat="1" ht="11.25">
      <c r="A47" s="15">
        <v>35472</v>
      </c>
      <c r="B47" s="16" t="s">
        <v>56</v>
      </c>
      <c r="C47" s="15">
        <v>1</v>
      </c>
      <c r="D47" s="15" t="s">
        <v>8</v>
      </c>
      <c r="E47" s="15" t="s">
        <v>18</v>
      </c>
      <c r="F47" s="1" t="s">
        <v>15</v>
      </c>
      <c r="G47" s="18">
        <v>0.00013229166666666665</v>
      </c>
      <c r="H47" s="18">
        <v>0.00032870370370370367</v>
      </c>
      <c r="I47" s="18">
        <v>0.0005177083333333332</v>
      </c>
      <c r="J47" s="37">
        <v>0.001071412037037037</v>
      </c>
      <c r="K47" s="37">
        <v>0.0016539351851851854</v>
      </c>
      <c r="L47" s="37"/>
      <c r="M47" s="75"/>
      <c r="N47" s="75"/>
    </row>
    <row r="48" spans="1:14" s="14" customFormat="1" ht="11.25">
      <c r="A48" s="15">
        <v>35407</v>
      </c>
      <c r="B48" s="16" t="s">
        <v>67</v>
      </c>
      <c r="C48" s="15">
        <v>2</v>
      </c>
      <c r="D48" s="15" t="s">
        <v>8</v>
      </c>
      <c r="E48" s="15" t="s">
        <v>18</v>
      </c>
      <c r="F48" s="1" t="s">
        <v>15</v>
      </c>
      <c r="G48" s="18">
        <v>0.00013738425925925927</v>
      </c>
      <c r="H48" s="18">
        <v>0.00036666666666666667</v>
      </c>
      <c r="I48" s="18">
        <v>0.0005373842592592593</v>
      </c>
      <c r="J48" s="37">
        <v>0.0010818287037037038</v>
      </c>
      <c r="K48" s="37">
        <v>0.0016962962962962964</v>
      </c>
      <c r="L48" s="37"/>
      <c r="M48" s="75"/>
      <c r="N48" s="75"/>
    </row>
    <row r="49" spans="1:14" s="14" customFormat="1" ht="11.25">
      <c r="A49" s="15">
        <v>35422</v>
      </c>
      <c r="B49" s="16" t="s">
        <v>45</v>
      </c>
      <c r="C49" s="15">
        <v>1</v>
      </c>
      <c r="D49" s="15" t="s">
        <v>41</v>
      </c>
      <c r="E49" s="15" t="s">
        <v>28</v>
      </c>
      <c r="F49" s="15">
        <v>1</v>
      </c>
      <c r="G49" s="24">
        <v>0.0001365740740740741</v>
      </c>
      <c r="H49" s="24">
        <v>0.0003295138888888889</v>
      </c>
      <c r="I49" s="24">
        <v>0.0005092592592592592</v>
      </c>
      <c r="J49" s="27">
        <v>0.0010467592592592592</v>
      </c>
      <c r="K49" s="27">
        <v>0.0016255787037037037</v>
      </c>
      <c r="L49" s="27">
        <v>0.0034861111111111104</v>
      </c>
      <c r="M49" s="29"/>
      <c r="N49" s="29"/>
    </row>
    <row r="50" spans="1:14" s="14" customFormat="1" ht="11.25">
      <c r="A50" s="15">
        <v>35421</v>
      </c>
      <c r="B50" s="16" t="s">
        <v>59</v>
      </c>
      <c r="C50" s="15">
        <v>2</v>
      </c>
      <c r="D50" s="15" t="s">
        <v>41</v>
      </c>
      <c r="E50" s="15" t="s">
        <v>28</v>
      </c>
      <c r="F50" s="15">
        <v>1</v>
      </c>
      <c r="G50" s="24">
        <v>0.00013738425925925927</v>
      </c>
      <c r="H50" s="24">
        <v>0.00033113425925925926</v>
      </c>
      <c r="I50" s="24">
        <v>0.0005239583333333334</v>
      </c>
      <c r="J50" s="27">
        <v>0.0010623842592592592</v>
      </c>
      <c r="K50" s="27">
        <v>0.001678587962962963</v>
      </c>
      <c r="L50" s="27">
        <v>0.003669907407407407</v>
      </c>
      <c r="M50" s="29"/>
      <c r="N50" s="29"/>
    </row>
    <row r="51" spans="1:14" ht="11.25">
      <c r="A51" s="1">
        <v>35558</v>
      </c>
      <c r="B51" s="33" t="s">
        <v>66</v>
      </c>
      <c r="C51" s="1">
        <v>1</v>
      </c>
      <c r="D51" s="1" t="s">
        <v>41</v>
      </c>
      <c r="E51" s="15" t="s">
        <v>28</v>
      </c>
      <c r="F51" s="1">
        <v>1</v>
      </c>
      <c r="G51" s="18">
        <v>0.0001417824074074074</v>
      </c>
      <c r="H51" s="18">
        <v>0.00033634259259259256</v>
      </c>
      <c r="I51" s="18">
        <v>0.0005336805555555556</v>
      </c>
      <c r="J51" s="37">
        <v>0.0010712962962962965</v>
      </c>
      <c r="K51" s="37">
        <v>0.0017059027777777778</v>
      </c>
      <c r="L51" s="37"/>
      <c r="M51" s="75"/>
      <c r="N51" s="75"/>
    </row>
    <row r="52" spans="1:14" s="14" customFormat="1" ht="11.25">
      <c r="A52" s="15">
        <v>35424</v>
      </c>
      <c r="B52" s="16" t="s">
        <v>70</v>
      </c>
      <c r="C52" s="15">
        <v>1</v>
      </c>
      <c r="D52" s="15" t="s">
        <v>41</v>
      </c>
      <c r="E52" s="15" t="s">
        <v>28</v>
      </c>
      <c r="F52" s="1" t="s">
        <v>15</v>
      </c>
      <c r="G52" s="18">
        <v>0.00013425925925925926</v>
      </c>
      <c r="H52" s="18">
        <v>0.00032638888888888887</v>
      </c>
      <c r="I52" s="18">
        <v>0.0005262731481481482</v>
      </c>
      <c r="J52" s="37">
        <v>0.0011099537037037035</v>
      </c>
      <c r="K52" s="37">
        <v>0.0017413194444444444</v>
      </c>
      <c r="L52" s="37"/>
      <c r="M52" s="75"/>
      <c r="N52" s="75"/>
    </row>
    <row r="53" spans="1:14" s="14" customFormat="1" ht="11.25">
      <c r="A53" s="15">
        <v>35423</v>
      </c>
      <c r="B53" s="16" t="s">
        <v>74</v>
      </c>
      <c r="C53" s="15">
        <v>1</v>
      </c>
      <c r="D53" s="15" t="s">
        <v>41</v>
      </c>
      <c r="E53" s="15" t="s">
        <v>28</v>
      </c>
      <c r="F53" s="15">
        <v>1</v>
      </c>
      <c r="G53" s="24">
        <v>0.00014722222222222223</v>
      </c>
      <c r="H53" s="24">
        <v>0.00036041666666666665</v>
      </c>
      <c r="I53" s="24">
        <v>0.0005481481481481482</v>
      </c>
      <c r="J53" s="27">
        <v>0.0010972222222222223</v>
      </c>
      <c r="K53" s="27">
        <v>0.0017373842592592595</v>
      </c>
      <c r="L53" s="27">
        <v>0.0038738425925925924</v>
      </c>
      <c r="M53" s="29"/>
      <c r="N53" s="29"/>
    </row>
    <row r="54" spans="1:14" ht="11.25">
      <c r="A54" s="1">
        <v>35568</v>
      </c>
      <c r="B54" s="33" t="s">
        <v>147</v>
      </c>
      <c r="C54" s="1">
        <v>1</v>
      </c>
      <c r="D54" s="1" t="s">
        <v>41</v>
      </c>
      <c r="E54" s="15" t="s">
        <v>28</v>
      </c>
      <c r="F54" s="1" t="s">
        <v>15</v>
      </c>
      <c r="G54" s="18">
        <v>0.00015335648148148148</v>
      </c>
      <c r="H54" s="18">
        <v>0.0003806712962962963</v>
      </c>
      <c r="I54" s="18">
        <v>0.0006031249999999999</v>
      </c>
      <c r="J54" s="37">
        <v>0.001436689814814815</v>
      </c>
      <c r="K54" s="37"/>
      <c r="L54" s="37"/>
      <c r="M54" s="75"/>
      <c r="N54" s="75"/>
    </row>
    <row r="55" spans="1:14" ht="11.25">
      <c r="A55" s="1">
        <v>35595</v>
      </c>
      <c r="B55" s="53" t="s">
        <v>84</v>
      </c>
      <c r="C55" s="1">
        <v>2</v>
      </c>
      <c r="D55" s="1" t="s">
        <v>41</v>
      </c>
      <c r="E55" s="1" t="s">
        <v>173</v>
      </c>
      <c r="F55" s="1">
        <v>2</v>
      </c>
      <c r="G55" s="18">
        <v>0.00015752314814814814</v>
      </c>
      <c r="H55" s="18">
        <v>0.0003835648148148148</v>
      </c>
      <c r="I55" s="18">
        <v>0.0005863425925925925</v>
      </c>
      <c r="J55" s="37">
        <v>0.001186111111111111</v>
      </c>
      <c r="K55" s="37">
        <v>0.001863310185185185</v>
      </c>
      <c r="L55" s="37"/>
      <c r="M55" s="75"/>
      <c r="N55" s="75"/>
    </row>
    <row r="56" spans="1:14" ht="11.25">
      <c r="A56" s="1">
        <v>35603</v>
      </c>
      <c r="B56" s="53" t="s">
        <v>88</v>
      </c>
      <c r="C56" s="1">
        <v>1</v>
      </c>
      <c r="D56" s="1" t="s">
        <v>41</v>
      </c>
      <c r="E56" s="15" t="s">
        <v>28</v>
      </c>
      <c r="F56" s="1">
        <v>3</v>
      </c>
      <c r="G56" s="18">
        <v>0.00016018518518518516</v>
      </c>
      <c r="H56" s="18">
        <v>0.00039652777777777776</v>
      </c>
      <c r="I56" s="18">
        <v>0.0006082175925925926</v>
      </c>
      <c r="J56" s="37">
        <v>0.0012246527777777778</v>
      </c>
      <c r="K56" s="37">
        <v>0.00196875</v>
      </c>
      <c r="L56" s="37"/>
      <c r="M56" s="75"/>
      <c r="N56" s="75"/>
    </row>
    <row r="57" spans="1:14" s="14" customFormat="1" ht="11.25">
      <c r="A57" s="15">
        <v>35334</v>
      </c>
      <c r="B57" s="16" t="s">
        <v>89</v>
      </c>
      <c r="C57" s="15">
        <v>2</v>
      </c>
      <c r="D57" s="15" t="s">
        <v>41</v>
      </c>
      <c r="E57" s="15" t="s">
        <v>28</v>
      </c>
      <c r="F57" s="15">
        <v>3</v>
      </c>
      <c r="G57" s="24">
        <v>0.00015972222222222223</v>
      </c>
      <c r="H57" s="24">
        <v>0.0003994212962962962</v>
      </c>
      <c r="I57" s="24">
        <v>0.0006215277777777778</v>
      </c>
      <c r="J57" s="27">
        <v>0.0012636574074074074</v>
      </c>
      <c r="K57" s="27">
        <v>0.0019063657407407406</v>
      </c>
      <c r="L57" s="27"/>
      <c r="M57" s="29"/>
      <c r="N57" s="29"/>
    </row>
    <row r="58" spans="1:14" ht="11.25">
      <c r="A58" s="1">
        <v>35574</v>
      </c>
      <c r="B58" s="33" t="s">
        <v>29</v>
      </c>
      <c r="C58" s="1">
        <v>1</v>
      </c>
      <c r="D58" s="1" t="s">
        <v>8</v>
      </c>
      <c r="E58" s="1" t="s">
        <v>28</v>
      </c>
      <c r="F58" s="1">
        <v>1</v>
      </c>
      <c r="G58" s="18">
        <v>0.0001310185185185185</v>
      </c>
      <c r="H58" s="18">
        <v>0.00030127314814814817</v>
      </c>
      <c r="I58" s="18">
        <v>0.00047314814814814816</v>
      </c>
      <c r="J58" s="37">
        <v>0.0009814814814814814</v>
      </c>
      <c r="K58" s="37">
        <v>0.0014957175925925928</v>
      </c>
      <c r="L58" s="37">
        <v>0.0033189814814814818</v>
      </c>
      <c r="M58" s="75"/>
      <c r="N58" s="75"/>
    </row>
    <row r="59" spans="1:14" s="14" customFormat="1" ht="11.25">
      <c r="A59" s="15">
        <v>35488</v>
      </c>
      <c r="B59" s="16" t="s">
        <v>44</v>
      </c>
      <c r="C59" s="15">
        <v>2</v>
      </c>
      <c r="D59" s="15" t="s">
        <v>8</v>
      </c>
      <c r="E59" s="15" t="s">
        <v>28</v>
      </c>
      <c r="F59" s="1" t="s">
        <v>15</v>
      </c>
      <c r="G59" s="18">
        <v>0.00013449074074074074</v>
      </c>
      <c r="H59" s="18">
        <v>0.00033020833333333334</v>
      </c>
      <c r="I59" s="18">
        <v>0.0005033564814814815</v>
      </c>
      <c r="J59" s="37">
        <v>0.0010149305555555556</v>
      </c>
      <c r="K59" s="37">
        <v>0.001648148148148148</v>
      </c>
      <c r="L59" s="37">
        <v>0.0035827546296296297</v>
      </c>
      <c r="M59" s="75"/>
      <c r="N59" s="75"/>
    </row>
    <row r="60" spans="1:14" s="14" customFormat="1" ht="11.25">
      <c r="A60" s="15">
        <v>35530</v>
      </c>
      <c r="B60" s="16" t="s">
        <v>55</v>
      </c>
      <c r="C60" s="15">
        <v>2</v>
      </c>
      <c r="D60" s="15" t="s">
        <v>8</v>
      </c>
      <c r="E60" s="15" t="s">
        <v>28</v>
      </c>
      <c r="F60" s="15">
        <v>2</v>
      </c>
      <c r="G60" s="24">
        <v>0.00013645833333333332</v>
      </c>
      <c r="H60" s="24">
        <v>0.0003337962962962963</v>
      </c>
      <c r="I60" s="24">
        <v>0.0005238425925925926</v>
      </c>
      <c r="J60" s="27">
        <v>0.001058564814814815</v>
      </c>
      <c r="K60" s="27">
        <v>0.001648263888888889</v>
      </c>
      <c r="L60" s="27">
        <v>0.0036913194444444446</v>
      </c>
      <c r="M60" s="29"/>
      <c r="N60" s="29"/>
    </row>
    <row r="61" spans="1:14" ht="11.25">
      <c r="A61" s="1">
        <v>35586</v>
      </c>
      <c r="B61" s="53" t="s">
        <v>57</v>
      </c>
      <c r="C61" s="1">
        <v>2</v>
      </c>
      <c r="D61" s="1" t="s">
        <v>8</v>
      </c>
      <c r="E61" s="1" t="s">
        <v>173</v>
      </c>
      <c r="F61" s="1">
        <v>2</v>
      </c>
      <c r="G61" s="18">
        <v>0.0001315972222222222</v>
      </c>
      <c r="H61" s="18">
        <v>0.00032361111111111116</v>
      </c>
      <c r="I61" s="18">
        <v>0.0005172453703703704</v>
      </c>
      <c r="J61" s="37">
        <v>0.0010515046296296297</v>
      </c>
      <c r="K61" s="37">
        <v>0.0016888888888888889</v>
      </c>
      <c r="L61" s="37"/>
      <c r="M61" s="75"/>
      <c r="N61" s="75"/>
    </row>
    <row r="62" spans="1:14" ht="11.25">
      <c r="A62" s="1">
        <v>35570</v>
      </c>
      <c r="B62" s="33" t="s">
        <v>58</v>
      </c>
      <c r="C62" s="1">
        <v>1</v>
      </c>
      <c r="D62" s="1" t="s">
        <v>8</v>
      </c>
      <c r="E62" s="1" t="s">
        <v>28</v>
      </c>
      <c r="F62" s="1">
        <v>2</v>
      </c>
      <c r="G62" s="18">
        <v>0.00013645833333333332</v>
      </c>
      <c r="H62" s="18">
        <v>0.0003326388888888889</v>
      </c>
      <c r="I62" s="18">
        <v>0.0005230324074074074</v>
      </c>
      <c r="J62" s="37">
        <v>0.0010766203703703704</v>
      </c>
      <c r="K62" s="37">
        <v>0.0016537037037037035</v>
      </c>
      <c r="L62" s="37">
        <v>0.003614583333333334</v>
      </c>
      <c r="M62" s="75"/>
      <c r="N62" s="75"/>
    </row>
    <row r="63" spans="1:14" s="14" customFormat="1" ht="11.25">
      <c r="A63" s="15">
        <v>35457</v>
      </c>
      <c r="B63" s="16" t="s">
        <v>129</v>
      </c>
      <c r="C63" s="15">
        <v>2</v>
      </c>
      <c r="D63" s="15" t="s">
        <v>41</v>
      </c>
      <c r="E63" s="15" t="s">
        <v>53</v>
      </c>
      <c r="F63" s="1" t="s">
        <v>15</v>
      </c>
      <c r="G63" s="18">
        <v>0.0001462962962962963</v>
      </c>
      <c r="H63" s="18">
        <v>0.00038298611111111123</v>
      </c>
      <c r="I63" s="18">
        <v>0.0006167824074074074</v>
      </c>
      <c r="J63" s="37">
        <v>0.0012618055555555557</v>
      </c>
      <c r="K63" s="37"/>
      <c r="L63" s="37"/>
      <c r="M63" s="75"/>
      <c r="N63" s="75"/>
    </row>
    <row r="64" spans="1:14" ht="11.25">
      <c r="A64" s="1">
        <v>35600</v>
      </c>
      <c r="B64" s="33" t="s">
        <v>141</v>
      </c>
      <c r="C64" s="1">
        <v>1</v>
      </c>
      <c r="D64" s="1" t="s">
        <v>41</v>
      </c>
      <c r="E64" s="1" t="s">
        <v>53</v>
      </c>
      <c r="F64" s="1">
        <v>3</v>
      </c>
      <c r="G64" s="18">
        <v>0.0001636574074074074</v>
      </c>
      <c r="H64" s="18">
        <v>0.00041724537037037034</v>
      </c>
      <c r="I64" s="18">
        <v>0.0006479166666666666</v>
      </c>
      <c r="J64" s="37">
        <v>0.0013506944444444445</v>
      </c>
      <c r="K64" s="37"/>
      <c r="L64" s="37"/>
      <c r="M64" s="75"/>
      <c r="N64" s="75"/>
    </row>
    <row r="65" spans="1:14" s="14" customFormat="1" ht="11.25">
      <c r="A65" s="14">
        <v>35545</v>
      </c>
      <c r="B65" s="16" t="s">
        <v>52</v>
      </c>
      <c r="C65" s="14">
        <v>1</v>
      </c>
      <c r="D65" s="14" t="s">
        <v>41</v>
      </c>
      <c r="E65" s="14" t="s">
        <v>53</v>
      </c>
      <c r="F65" s="14">
        <v>1</v>
      </c>
      <c r="G65" s="42">
        <v>0.00013796296296296297</v>
      </c>
      <c r="H65" s="42">
        <v>0.00033645833333333336</v>
      </c>
      <c r="I65" s="42">
        <v>0.0005207175925925926</v>
      </c>
      <c r="J65" s="44">
        <v>0.0010636574074074075</v>
      </c>
      <c r="K65" s="44">
        <v>0.0016031250000000002</v>
      </c>
      <c r="L65" s="44"/>
      <c r="M65" s="41"/>
      <c r="N65" s="41"/>
    </row>
    <row r="66" spans="1:14" ht="11.25">
      <c r="A66" s="1">
        <v>35557</v>
      </c>
      <c r="B66" s="33" t="s">
        <v>62</v>
      </c>
      <c r="C66" s="1">
        <v>2</v>
      </c>
      <c r="D66" s="1" t="s">
        <v>41</v>
      </c>
      <c r="E66" s="1" t="s">
        <v>53</v>
      </c>
      <c r="F66" s="1">
        <v>1</v>
      </c>
      <c r="G66" s="18">
        <v>0.00014293981481481482</v>
      </c>
      <c r="H66" s="18">
        <v>0.00034375000000000003</v>
      </c>
      <c r="I66" s="18">
        <v>0.0005314814814814814</v>
      </c>
      <c r="J66" s="37">
        <v>0.0010908564814814815</v>
      </c>
      <c r="K66" s="37">
        <v>0.0016556712962962964</v>
      </c>
      <c r="L66" s="37"/>
      <c r="M66" s="75"/>
      <c r="N66" s="75"/>
    </row>
    <row r="67" spans="1:14" s="14" customFormat="1" ht="11.25">
      <c r="A67" s="14">
        <v>35542</v>
      </c>
      <c r="B67" s="16" t="s">
        <v>81</v>
      </c>
      <c r="C67" s="14">
        <v>1</v>
      </c>
      <c r="D67" s="14" t="s">
        <v>41</v>
      </c>
      <c r="E67" s="14" t="s">
        <v>53</v>
      </c>
      <c r="F67" s="14">
        <v>1</v>
      </c>
      <c r="G67" s="42">
        <v>0.00015185185185185183</v>
      </c>
      <c r="H67" s="42">
        <v>0.0003768518518518519</v>
      </c>
      <c r="I67" s="42">
        <v>0.000581712962962963</v>
      </c>
      <c r="J67" s="44">
        <v>0.0011498842592592591</v>
      </c>
      <c r="K67" s="44">
        <v>0.001813773148148148</v>
      </c>
      <c r="L67" s="44"/>
      <c r="M67" s="41"/>
      <c r="N67" s="41"/>
    </row>
    <row r="68" spans="1:14" ht="11.25">
      <c r="A68" s="1">
        <v>35598</v>
      </c>
      <c r="B68" s="53" t="s">
        <v>157</v>
      </c>
      <c r="C68" s="1">
        <v>1</v>
      </c>
      <c r="D68" s="1" t="s">
        <v>41</v>
      </c>
      <c r="E68" s="1" t="s">
        <v>53</v>
      </c>
      <c r="F68" s="1">
        <v>4</v>
      </c>
      <c r="G68" s="18"/>
      <c r="H68" s="18">
        <v>0.0004641203703703704</v>
      </c>
      <c r="I68" s="37">
        <v>0.0007918981481481482</v>
      </c>
      <c r="J68" s="37"/>
      <c r="K68" s="37">
        <v>0.002408912037037037</v>
      </c>
      <c r="L68" s="37"/>
      <c r="M68" s="75"/>
      <c r="N68" s="75"/>
    </row>
    <row r="69" spans="1:14" ht="11.25">
      <c r="A69" s="1">
        <v>35565</v>
      </c>
      <c r="B69" s="33" t="s">
        <v>110</v>
      </c>
      <c r="C69" s="1">
        <v>1</v>
      </c>
      <c r="D69" s="1" t="s">
        <v>8</v>
      </c>
      <c r="E69" s="1" t="s">
        <v>53</v>
      </c>
      <c r="F69" s="1">
        <v>2</v>
      </c>
      <c r="G69" s="18">
        <v>0.00014814814814814815</v>
      </c>
      <c r="H69" s="18">
        <v>0.00036851851851851846</v>
      </c>
      <c r="I69" s="18">
        <v>0.0005621527777777778</v>
      </c>
      <c r="J69" s="37">
        <v>0.0011738425925925924</v>
      </c>
      <c r="K69" s="37"/>
      <c r="L69" s="37"/>
      <c r="M69" s="75"/>
      <c r="N69" s="75"/>
    </row>
    <row r="70" spans="1:14" ht="11.25">
      <c r="A70" s="1">
        <v>35590</v>
      </c>
      <c r="B70" s="33" t="s">
        <v>116</v>
      </c>
      <c r="C70" s="1">
        <v>2</v>
      </c>
      <c r="D70" s="1" t="s">
        <v>8</v>
      </c>
      <c r="E70" s="1" t="s">
        <v>53</v>
      </c>
      <c r="F70" s="1">
        <v>2</v>
      </c>
      <c r="G70" s="18">
        <v>0.0001457175925925926</v>
      </c>
      <c r="H70" s="18">
        <v>0.0003590277777777778</v>
      </c>
      <c r="I70" s="18">
        <v>0.0005718749999999999</v>
      </c>
      <c r="J70" s="37">
        <v>0.0012037037037037038</v>
      </c>
      <c r="K70" s="37"/>
      <c r="L70" s="37"/>
      <c r="M70" s="75"/>
      <c r="N70" s="75"/>
    </row>
    <row r="71" spans="1:14" ht="11.25">
      <c r="A71" s="1">
        <v>35591</v>
      </c>
      <c r="B71" s="53" t="s">
        <v>138</v>
      </c>
      <c r="C71" s="1">
        <v>1</v>
      </c>
      <c r="D71" s="1" t="s">
        <v>8</v>
      </c>
      <c r="E71" s="1" t="s">
        <v>53</v>
      </c>
      <c r="F71" s="1">
        <v>4</v>
      </c>
      <c r="G71" s="18">
        <v>0.00016585648148148148</v>
      </c>
      <c r="H71" s="18">
        <v>0.0004236111111111111</v>
      </c>
      <c r="I71" s="18">
        <v>0.0006407407407407407</v>
      </c>
      <c r="J71" s="37">
        <v>0.0013255787037037038</v>
      </c>
      <c r="K71" s="37"/>
      <c r="L71" s="37"/>
      <c r="M71" s="75"/>
      <c r="N71" s="75"/>
    </row>
    <row r="72" spans="1:14" s="14" customFormat="1" ht="11.25">
      <c r="A72" s="15">
        <v>35428</v>
      </c>
      <c r="B72" s="16" t="s">
        <v>27</v>
      </c>
      <c r="C72" s="15">
        <v>2</v>
      </c>
      <c r="D72" s="15" t="s">
        <v>8</v>
      </c>
      <c r="E72" s="1" t="s">
        <v>53</v>
      </c>
      <c r="F72" s="15">
        <v>1</v>
      </c>
      <c r="G72" s="24">
        <v>0.00013425925925925926</v>
      </c>
      <c r="H72" s="24">
        <v>0.00031944444444444446</v>
      </c>
      <c r="I72" s="24">
        <v>0.00048287037037037043</v>
      </c>
      <c r="J72" s="27">
        <v>0.0009523148148148148</v>
      </c>
      <c r="K72" s="27">
        <v>0.001488078703703704</v>
      </c>
      <c r="L72" s="27">
        <v>0.0031708333333333332</v>
      </c>
      <c r="M72" s="29"/>
      <c r="N72" s="29"/>
    </row>
    <row r="73" spans="1:14" s="14" customFormat="1" ht="11.25">
      <c r="A73" s="15">
        <v>35526</v>
      </c>
      <c r="B73" s="16" t="s">
        <v>31</v>
      </c>
      <c r="C73" s="14">
        <v>2</v>
      </c>
      <c r="D73" s="15" t="s">
        <v>8</v>
      </c>
      <c r="E73" s="1" t="s">
        <v>53</v>
      </c>
      <c r="F73" s="15">
        <v>1</v>
      </c>
      <c r="G73" s="24">
        <v>0.00012650462962962965</v>
      </c>
      <c r="H73" s="24">
        <v>0.0003096064814814815</v>
      </c>
      <c r="I73" s="24">
        <v>0.00048692129629629633</v>
      </c>
      <c r="J73" s="27">
        <v>0.0009755787037037038</v>
      </c>
      <c r="K73" s="27">
        <v>0.0015246527777777778</v>
      </c>
      <c r="L73" s="27">
        <v>0.0032740740740740746</v>
      </c>
      <c r="M73" s="29"/>
      <c r="N73" s="29"/>
    </row>
    <row r="74" spans="1:14" s="14" customFormat="1" ht="11.25">
      <c r="A74" s="15">
        <v>35546</v>
      </c>
      <c r="B74" s="16" t="s">
        <v>33</v>
      </c>
      <c r="C74" s="14">
        <v>2</v>
      </c>
      <c r="D74" s="15" t="s">
        <v>8</v>
      </c>
      <c r="E74" s="1" t="s">
        <v>53</v>
      </c>
      <c r="F74" s="15">
        <v>1</v>
      </c>
      <c r="G74" s="24">
        <v>0.00013599537037037036</v>
      </c>
      <c r="H74" s="24">
        <v>0.0003256944444444445</v>
      </c>
      <c r="I74" s="24">
        <v>0.0004987268518518519</v>
      </c>
      <c r="J74" s="27">
        <v>0.0009928240740740741</v>
      </c>
      <c r="K74" s="27">
        <v>0.001498263888888889</v>
      </c>
      <c r="L74" s="27">
        <v>0.0032837962962962964</v>
      </c>
      <c r="M74" s="29"/>
      <c r="N74" s="29"/>
    </row>
    <row r="75" spans="1:14" ht="11.25">
      <c r="A75" s="1">
        <v>35564</v>
      </c>
      <c r="B75" s="33" t="s">
        <v>39</v>
      </c>
      <c r="C75" s="1">
        <v>2</v>
      </c>
      <c r="D75" s="1" t="s">
        <v>8</v>
      </c>
      <c r="E75" s="1" t="s">
        <v>53</v>
      </c>
      <c r="F75" s="1">
        <v>1</v>
      </c>
      <c r="G75" s="18">
        <v>0.00013449074074074074</v>
      </c>
      <c r="H75" s="18">
        <v>0.0003295138888888889</v>
      </c>
      <c r="I75" s="18">
        <v>0.0005040509259259259</v>
      </c>
      <c r="J75" s="37">
        <v>0.001011111111111111</v>
      </c>
      <c r="K75" s="37">
        <v>0.001596412037037037</v>
      </c>
      <c r="L75" s="37"/>
      <c r="M75" s="75"/>
      <c r="N75" s="75"/>
    </row>
    <row r="76" spans="1:14" ht="11.25">
      <c r="A76" s="1">
        <v>35579</v>
      </c>
      <c r="B76" s="33" t="s">
        <v>50</v>
      </c>
      <c r="C76" s="1">
        <v>2</v>
      </c>
      <c r="D76" s="1" t="s">
        <v>8</v>
      </c>
      <c r="E76" s="1" t="s">
        <v>53</v>
      </c>
      <c r="F76" s="1">
        <v>1</v>
      </c>
      <c r="G76" s="18">
        <v>0.00013993055555555555</v>
      </c>
      <c r="H76" s="18">
        <v>0.00033634259259259256</v>
      </c>
      <c r="I76" s="18">
        <v>0.000514699074074074</v>
      </c>
      <c r="J76" s="37">
        <v>0.001049537037037037</v>
      </c>
      <c r="K76" s="37">
        <v>0.001624537037037037</v>
      </c>
      <c r="L76" s="37"/>
      <c r="M76" s="75"/>
      <c r="N76" s="75"/>
    </row>
    <row r="77" spans="1:14" ht="11.25">
      <c r="A77" s="1">
        <v>35548</v>
      </c>
      <c r="B77" s="33" t="s">
        <v>54</v>
      </c>
      <c r="C77" s="1">
        <v>1</v>
      </c>
      <c r="D77" s="1" t="s">
        <v>8</v>
      </c>
      <c r="E77" s="1" t="s">
        <v>53</v>
      </c>
      <c r="F77" s="1">
        <v>1</v>
      </c>
      <c r="G77" s="18">
        <v>0.0001388888888888889</v>
      </c>
      <c r="H77" s="18">
        <v>0.0003321759259259259</v>
      </c>
      <c r="I77" s="18">
        <v>0.0005175925925925926</v>
      </c>
      <c r="J77" s="37">
        <v>0.001067824074074074</v>
      </c>
      <c r="K77" s="37">
        <v>0.0016468750000000001</v>
      </c>
      <c r="L77" s="37"/>
      <c r="M77" s="75"/>
      <c r="N77" s="75"/>
    </row>
    <row r="78" spans="1:14" ht="11.25">
      <c r="A78" s="1">
        <v>35560</v>
      </c>
      <c r="B78" s="33" t="s">
        <v>60</v>
      </c>
      <c r="C78" s="1">
        <v>1</v>
      </c>
      <c r="D78" s="1" t="s">
        <v>8</v>
      </c>
      <c r="E78" s="1" t="s">
        <v>53</v>
      </c>
      <c r="F78" s="1">
        <v>1</v>
      </c>
      <c r="G78" s="18">
        <v>0.00014039351851851854</v>
      </c>
      <c r="H78" s="18">
        <v>0.000333912037037037</v>
      </c>
      <c r="I78" s="18">
        <v>0.0005254629629629629</v>
      </c>
      <c r="J78" s="37">
        <v>0.0010846064814814815</v>
      </c>
      <c r="K78" s="37">
        <v>0.0016576388888888888</v>
      </c>
      <c r="L78" s="37"/>
      <c r="M78" s="75"/>
      <c r="N78" s="75"/>
    </row>
    <row r="79" spans="1:14" ht="11.25">
      <c r="A79" s="1">
        <v>35582</v>
      </c>
      <c r="B79" s="33" t="s">
        <v>72</v>
      </c>
      <c r="C79" s="1">
        <v>1</v>
      </c>
      <c r="D79" s="15" t="s">
        <v>8</v>
      </c>
      <c r="E79" s="1" t="s">
        <v>53</v>
      </c>
      <c r="F79" s="1">
        <v>1</v>
      </c>
      <c r="G79" s="18">
        <v>0.00014155092592592594</v>
      </c>
      <c r="H79" s="18">
        <v>0.00035034722222222216</v>
      </c>
      <c r="I79" s="18">
        <v>0.0005276620370370371</v>
      </c>
      <c r="J79" s="37">
        <v>0.0011030092592592593</v>
      </c>
      <c r="K79" s="37">
        <v>0.0017780092592592593</v>
      </c>
      <c r="L79" s="37"/>
      <c r="M79" s="75"/>
      <c r="N79" s="75"/>
    </row>
    <row r="80" spans="1:14" ht="11.25">
      <c r="A80" s="1">
        <v>35578</v>
      </c>
      <c r="B80" s="33" t="s">
        <v>82</v>
      </c>
      <c r="C80" s="1">
        <v>1</v>
      </c>
      <c r="D80" s="15" t="s">
        <v>8</v>
      </c>
      <c r="E80" s="15" t="s">
        <v>53</v>
      </c>
      <c r="F80" s="1">
        <v>2</v>
      </c>
      <c r="G80" s="18">
        <v>0.00014699074074074072</v>
      </c>
      <c r="H80" s="18">
        <v>0.00036608796296296297</v>
      </c>
      <c r="I80" s="18">
        <v>0.0005650462962962962</v>
      </c>
      <c r="J80" s="37">
        <v>0.0011579861111111112</v>
      </c>
      <c r="K80" s="37">
        <v>0.0018865740740740742</v>
      </c>
      <c r="L80" s="37"/>
      <c r="M80" s="75"/>
      <c r="N80" s="75"/>
    </row>
    <row r="81" spans="1:14" ht="11.25">
      <c r="A81" s="1">
        <v>35617</v>
      </c>
      <c r="B81" s="33" t="s">
        <v>94</v>
      </c>
      <c r="C81" s="1">
        <v>1</v>
      </c>
      <c r="D81" s="1" t="s">
        <v>8</v>
      </c>
      <c r="E81" s="1" t="s">
        <v>53</v>
      </c>
      <c r="F81" s="1">
        <v>4</v>
      </c>
      <c r="G81" s="18">
        <v>0.00016377314814814816</v>
      </c>
      <c r="H81" s="18">
        <v>0.00045312499999999997</v>
      </c>
      <c r="I81" s="18">
        <v>0.0006756944444444445</v>
      </c>
      <c r="J81" s="37">
        <v>0.0014288194444444446</v>
      </c>
      <c r="K81" s="37"/>
      <c r="L81" s="37"/>
      <c r="M81" s="75"/>
      <c r="N81" s="75"/>
    </row>
    <row r="82" spans="1:14" s="14" customFormat="1" ht="11.25">
      <c r="A82" s="15">
        <v>35346</v>
      </c>
      <c r="B82" s="16" t="s">
        <v>64</v>
      </c>
      <c r="C82" s="15">
        <v>1</v>
      </c>
      <c r="D82" s="15" t="s">
        <v>41</v>
      </c>
      <c r="E82" s="15" t="s">
        <v>9</v>
      </c>
      <c r="F82" s="15">
        <v>1</v>
      </c>
      <c r="G82" s="24">
        <v>0.00013715277777777776</v>
      </c>
      <c r="H82" s="24">
        <v>0.0003344907407407407</v>
      </c>
      <c r="I82" s="24">
        <v>0.0005320601851851852</v>
      </c>
      <c r="J82" s="27">
        <v>0.0010841435185185186</v>
      </c>
      <c r="K82" s="27">
        <v>0.0016777777777777778</v>
      </c>
      <c r="L82" s="27">
        <v>0.0037773148148148145</v>
      </c>
      <c r="M82" s="29"/>
      <c r="N82" s="29"/>
    </row>
    <row r="83" spans="1:14" s="14" customFormat="1" ht="11.25">
      <c r="A83" s="15">
        <v>35277</v>
      </c>
      <c r="B83" s="16" t="s">
        <v>73</v>
      </c>
      <c r="C83" s="15">
        <v>3</v>
      </c>
      <c r="D83" s="15" t="s">
        <v>41</v>
      </c>
      <c r="E83" s="15" t="s">
        <v>9</v>
      </c>
      <c r="F83" s="15">
        <v>1</v>
      </c>
      <c r="G83" s="24">
        <v>0.00014189814814814816</v>
      </c>
      <c r="H83" s="24">
        <v>0.0003489583333333333</v>
      </c>
      <c r="I83" s="24">
        <v>0.0005533564814814815</v>
      </c>
      <c r="J83" s="27">
        <v>0.0011096064814814816</v>
      </c>
      <c r="K83" s="27">
        <v>0.0016931712962962961</v>
      </c>
      <c r="L83" s="27">
        <v>0.0037086805555555553</v>
      </c>
      <c r="M83" s="29">
        <v>0.006451157407407408</v>
      </c>
      <c r="N83" s="29"/>
    </row>
    <row r="84" spans="1:14" ht="11.25">
      <c r="A84" s="67">
        <v>35235</v>
      </c>
      <c r="B84" s="68" t="s">
        <v>185</v>
      </c>
      <c r="D84" s="69" t="s">
        <v>41</v>
      </c>
      <c r="E84" s="69" t="s">
        <v>9</v>
      </c>
      <c r="F84" s="1" t="s">
        <v>15</v>
      </c>
      <c r="G84" s="49">
        <v>13.25</v>
      </c>
      <c r="H84" s="49">
        <v>31.65</v>
      </c>
      <c r="I84" s="18">
        <v>0.0005689814814814814</v>
      </c>
      <c r="J84" s="37">
        <v>0.0011604166666666666</v>
      </c>
      <c r="K84" s="37">
        <v>0.0017790509259259261</v>
      </c>
      <c r="L84" s="49"/>
      <c r="M84" s="49"/>
      <c r="N84" s="49"/>
    </row>
    <row r="85" spans="1:14" ht="11.25">
      <c r="A85" s="67">
        <v>35242</v>
      </c>
      <c r="B85" s="68" t="s">
        <v>191</v>
      </c>
      <c r="D85" s="69" t="s">
        <v>41</v>
      </c>
      <c r="E85" s="69" t="s">
        <v>9</v>
      </c>
      <c r="F85" s="1" t="s">
        <v>15</v>
      </c>
      <c r="G85" s="49">
        <v>13.19</v>
      </c>
      <c r="H85" s="49">
        <v>31.66</v>
      </c>
      <c r="I85" s="18">
        <v>0.0005755787037037037</v>
      </c>
      <c r="J85" s="37">
        <v>0.0011907407407407407</v>
      </c>
      <c r="K85" s="37">
        <v>0.0019525462962962962</v>
      </c>
      <c r="L85" s="49"/>
      <c r="M85" s="49"/>
      <c r="N85" s="49"/>
    </row>
    <row r="86" spans="1:14" s="14" customFormat="1" ht="11.25">
      <c r="A86" s="15">
        <v>35279</v>
      </c>
      <c r="B86" s="16" t="s">
        <v>87</v>
      </c>
      <c r="C86" s="15">
        <v>2</v>
      </c>
      <c r="D86" s="15" t="s">
        <v>41</v>
      </c>
      <c r="E86" s="15" t="s">
        <v>9</v>
      </c>
      <c r="F86" s="15">
        <v>3</v>
      </c>
      <c r="G86" s="24">
        <v>0.00015474537037037038</v>
      </c>
      <c r="H86" s="24">
        <v>0.00038460648148148143</v>
      </c>
      <c r="I86" s="24">
        <v>0.000603587962962963</v>
      </c>
      <c r="J86" s="27">
        <v>0.0012451388888888887</v>
      </c>
      <c r="K86" s="27">
        <v>0.0019474537037037036</v>
      </c>
      <c r="L86" s="27"/>
      <c r="M86" s="29"/>
      <c r="N86" s="29"/>
    </row>
    <row r="87" spans="1:14" ht="11.25">
      <c r="A87" s="1">
        <v>35234</v>
      </c>
      <c r="B87" s="33" t="s">
        <v>133</v>
      </c>
      <c r="C87" s="1">
        <v>2</v>
      </c>
      <c r="D87" s="15" t="s">
        <v>41</v>
      </c>
      <c r="E87" s="1" t="s">
        <v>9</v>
      </c>
      <c r="F87" s="1" t="s">
        <v>15</v>
      </c>
      <c r="G87" s="18"/>
      <c r="H87" s="18"/>
      <c r="I87" s="18">
        <v>0.0006197916666666666</v>
      </c>
      <c r="J87" s="37">
        <v>0.0012868055555555556</v>
      </c>
      <c r="K87" s="37"/>
      <c r="L87" s="37"/>
      <c r="M87" s="75"/>
      <c r="N87" s="75"/>
    </row>
    <row r="88" spans="1:14" s="14" customFormat="1" ht="11.25">
      <c r="A88" s="15">
        <v>35275</v>
      </c>
      <c r="B88" s="16" t="s">
        <v>92</v>
      </c>
      <c r="C88" s="15">
        <v>2</v>
      </c>
      <c r="D88" s="15" t="s">
        <v>41</v>
      </c>
      <c r="E88" s="15" t="s">
        <v>9</v>
      </c>
      <c r="F88" s="1" t="s">
        <v>15</v>
      </c>
      <c r="G88" s="18">
        <v>0.00015960648148148146</v>
      </c>
      <c r="H88" s="18"/>
      <c r="I88" s="18">
        <v>0.00065</v>
      </c>
      <c r="J88" s="37">
        <v>0.0013070601851851852</v>
      </c>
      <c r="K88" s="37">
        <v>0.0020800925925925926</v>
      </c>
      <c r="L88" s="37"/>
      <c r="M88" s="75"/>
      <c r="N88" s="75"/>
    </row>
    <row r="89" spans="1:14" ht="11.25">
      <c r="A89" s="67">
        <v>35294</v>
      </c>
      <c r="B89" s="68" t="s">
        <v>204</v>
      </c>
      <c r="D89" s="69" t="s">
        <v>41</v>
      </c>
      <c r="E89" s="69" t="s">
        <v>9</v>
      </c>
      <c r="F89" s="1" t="s">
        <v>15</v>
      </c>
      <c r="G89" s="49"/>
      <c r="H89" s="49"/>
      <c r="I89" s="37">
        <v>0.0007153935185185185</v>
      </c>
      <c r="J89" s="37">
        <v>0.0015668981481481482</v>
      </c>
      <c r="K89" s="37"/>
      <c r="L89" s="37"/>
      <c r="M89" s="49"/>
      <c r="N89" s="49"/>
    </row>
    <row r="90" spans="1:14" ht="11.25">
      <c r="A90" s="67">
        <v>35281</v>
      </c>
      <c r="B90" s="68" t="s">
        <v>208</v>
      </c>
      <c r="D90" s="69" t="s">
        <v>41</v>
      </c>
      <c r="E90" s="69" t="s">
        <v>9</v>
      </c>
      <c r="F90" s="1" t="s">
        <v>15</v>
      </c>
      <c r="G90" s="49"/>
      <c r="H90" s="49"/>
      <c r="I90" s="37">
        <v>0.0007969907407407408</v>
      </c>
      <c r="J90" s="37">
        <v>0.001711574074074074</v>
      </c>
      <c r="K90" s="37"/>
      <c r="L90" s="37"/>
      <c r="M90" s="49"/>
      <c r="N90" s="49"/>
    </row>
    <row r="91" spans="1:14" s="14" customFormat="1" ht="11.25">
      <c r="A91" s="15">
        <v>35290</v>
      </c>
      <c r="B91" s="16" t="s">
        <v>7</v>
      </c>
      <c r="C91" s="15">
        <v>1</v>
      </c>
      <c r="D91" s="15" t="s">
        <v>8</v>
      </c>
      <c r="E91" s="15" t="s">
        <v>9</v>
      </c>
      <c r="F91" s="15">
        <v>1</v>
      </c>
      <c r="G91" s="24">
        <v>0.00011701388888888889</v>
      </c>
      <c r="H91" s="24">
        <v>0.0002753472222222222</v>
      </c>
      <c r="I91" s="24">
        <v>0.0004212962962962963</v>
      </c>
      <c r="J91" s="27">
        <v>0.0008484953703703704</v>
      </c>
      <c r="K91" s="27">
        <v>0.0013105324074074076</v>
      </c>
      <c r="L91" s="27">
        <v>0.0028393518518518516</v>
      </c>
      <c r="M91" s="29">
        <v>0.004888888888888889</v>
      </c>
      <c r="N91" s="29">
        <v>0.010846180555555555</v>
      </c>
    </row>
    <row r="92" spans="1:14" s="14" customFormat="1" ht="11.25">
      <c r="A92" s="15">
        <v>35266</v>
      </c>
      <c r="B92" s="16" t="s">
        <v>16</v>
      </c>
      <c r="C92" s="15">
        <v>3</v>
      </c>
      <c r="D92" s="15" t="s">
        <v>8</v>
      </c>
      <c r="E92" s="15" t="s">
        <v>9</v>
      </c>
      <c r="F92" s="1" t="s">
        <v>15</v>
      </c>
      <c r="G92" s="18">
        <v>0.00011898148148148147</v>
      </c>
      <c r="H92" s="18">
        <v>0.00028831018518518523</v>
      </c>
      <c r="I92" s="18">
        <v>0.0004515046296296296</v>
      </c>
      <c r="J92" s="37">
        <v>0.0009195601851851852</v>
      </c>
      <c r="K92" s="37">
        <v>0.0014269675925925925</v>
      </c>
      <c r="L92" s="37">
        <v>0.003030787037037037</v>
      </c>
      <c r="M92" s="75">
        <v>0.005341435185185185</v>
      </c>
      <c r="N92" s="75"/>
    </row>
    <row r="93" spans="1:14" s="14" customFormat="1" ht="11.25">
      <c r="A93" s="15">
        <v>35372</v>
      </c>
      <c r="B93" s="16" t="s">
        <v>26</v>
      </c>
      <c r="C93" s="15">
        <v>1</v>
      </c>
      <c r="D93" s="15" t="s">
        <v>8</v>
      </c>
      <c r="E93" s="15" t="s">
        <v>9</v>
      </c>
      <c r="F93" s="15">
        <v>1</v>
      </c>
      <c r="G93" s="24">
        <v>0.00012534722222222222</v>
      </c>
      <c r="H93" s="24">
        <v>0.00030347222222222223</v>
      </c>
      <c r="I93" s="24">
        <v>0.0004715277777777778</v>
      </c>
      <c r="J93" s="27">
        <v>0.0009646990740740741</v>
      </c>
      <c r="K93" s="27">
        <v>0.0014943287037037037</v>
      </c>
      <c r="L93" s="27">
        <v>0.003434490740740741</v>
      </c>
      <c r="M93" s="29">
        <v>0.005965393518518518</v>
      </c>
      <c r="N93" s="29"/>
    </row>
    <row r="94" spans="1:14" s="14" customFormat="1" ht="11.25">
      <c r="A94" s="15">
        <v>35220</v>
      </c>
      <c r="B94" s="16" t="s">
        <v>21</v>
      </c>
      <c r="C94" s="15">
        <v>3</v>
      </c>
      <c r="D94" s="15" t="s">
        <v>8</v>
      </c>
      <c r="E94" s="15" t="s">
        <v>9</v>
      </c>
      <c r="F94" s="15">
        <v>1</v>
      </c>
      <c r="G94" s="24">
        <v>0.00012627314814814817</v>
      </c>
      <c r="H94" s="24">
        <v>0.00030590277777777777</v>
      </c>
      <c r="I94" s="24">
        <v>0.000478587962962963</v>
      </c>
      <c r="J94" s="27">
        <v>0.0009439814814814814</v>
      </c>
      <c r="K94" s="27">
        <v>0.0014355324074074073</v>
      </c>
      <c r="L94" s="27">
        <v>0.0030278935185185183</v>
      </c>
      <c r="M94" s="29">
        <v>0.005285532407407408</v>
      </c>
      <c r="N94" s="29">
        <v>0.011368749999999999</v>
      </c>
    </row>
    <row r="95" spans="1:14" ht="11.25">
      <c r="A95" s="1">
        <v>35245</v>
      </c>
      <c r="B95" s="33" t="s">
        <v>34</v>
      </c>
      <c r="C95" s="1">
        <v>3</v>
      </c>
      <c r="D95" s="1" t="s">
        <v>8</v>
      </c>
      <c r="E95" s="1" t="s">
        <v>9</v>
      </c>
      <c r="F95" s="1" t="s">
        <v>15</v>
      </c>
      <c r="G95" s="18">
        <v>0.0001275462962962963</v>
      </c>
      <c r="H95" s="18">
        <v>0.00030914351851851855</v>
      </c>
      <c r="I95" s="18">
        <v>0.00048622685185185184</v>
      </c>
      <c r="J95" s="37">
        <v>0.000990162037037037</v>
      </c>
      <c r="K95" s="37">
        <v>0.0015462962962962963</v>
      </c>
      <c r="L95" s="37">
        <v>0.0034180555555555557</v>
      </c>
      <c r="M95" s="75"/>
      <c r="N95" s="75"/>
    </row>
    <row r="96" spans="1:14" s="14" customFormat="1" ht="11.25">
      <c r="A96" s="15">
        <v>35311</v>
      </c>
      <c r="B96" s="16" t="s">
        <v>42</v>
      </c>
      <c r="C96" s="15">
        <v>2</v>
      </c>
      <c r="D96" s="15" t="s">
        <v>8</v>
      </c>
      <c r="E96" s="15" t="s">
        <v>9</v>
      </c>
      <c r="F96" s="15">
        <v>3</v>
      </c>
      <c r="G96" s="24">
        <v>0.00014108796296296295</v>
      </c>
      <c r="H96" s="24">
        <v>0.0003986111111111111</v>
      </c>
      <c r="I96" s="24">
        <v>0.000496875</v>
      </c>
      <c r="J96" s="27">
        <v>0.0010136574074074073</v>
      </c>
      <c r="K96" s="27">
        <v>0.001639699074074074</v>
      </c>
      <c r="L96" s="27">
        <v>0.003498726851851852</v>
      </c>
      <c r="M96" s="29"/>
      <c r="N96" s="29"/>
    </row>
    <row r="97" spans="1:14" ht="11.25">
      <c r="A97" s="1">
        <v>35241</v>
      </c>
      <c r="B97" s="33" t="s">
        <v>119</v>
      </c>
      <c r="D97" s="15" t="s">
        <v>8</v>
      </c>
      <c r="E97" s="1" t="s">
        <v>120</v>
      </c>
      <c r="F97" s="1" t="s">
        <v>15</v>
      </c>
      <c r="G97" s="18"/>
      <c r="H97" s="18"/>
      <c r="I97" s="18">
        <v>0.0006082175925925926</v>
      </c>
      <c r="J97" s="37">
        <v>0.0011809027777777777</v>
      </c>
      <c r="K97" s="37"/>
      <c r="L97" s="37"/>
      <c r="M97" s="75"/>
      <c r="N97" s="75"/>
    </row>
    <row r="98" spans="1:14" ht="11.25">
      <c r="A98" s="72">
        <v>35591</v>
      </c>
      <c r="B98" s="73" t="s">
        <v>138</v>
      </c>
      <c r="D98" s="74" t="s">
        <v>8</v>
      </c>
      <c r="E98" s="74" t="s">
        <v>97</v>
      </c>
      <c r="F98" s="1" t="s">
        <v>15</v>
      </c>
      <c r="G98" s="18">
        <v>0.00016585648148148148</v>
      </c>
      <c r="H98" s="18">
        <v>0.0004236111111111111</v>
      </c>
      <c r="I98" s="18">
        <v>0.0006407407407407407</v>
      </c>
      <c r="J98" s="37">
        <v>0.0013255787037037038</v>
      </c>
      <c r="K98" s="37"/>
      <c r="L98" s="37"/>
      <c r="M98" s="37"/>
      <c r="N98" s="75"/>
    </row>
    <row r="99" spans="1:14" ht="11.25">
      <c r="A99" s="67">
        <v>35014</v>
      </c>
      <c r="B99" s="68" t="s">
        <v>180</v>
      </c>
      <c r="D99" s="69" t="s">
        <v>41</v>
      </c>
      <c r="E99" s="69" t="s">
        <v>13</v>
      </c>
      <c r="F99" s="1" t="s">
        <v>15</v>
      </c>
      <c r="G99" s="18">
        <v>0.00014328703703703704</v>
      </c>
      <c r="H99" s="49">
        <v>31.1</v>
      </c>
      <c r="I99" s="18">
        <v>0.0005296296296296296</v>
      </c>
      <c r="J99" s="37">
        <v>0.0010548611111111112</v>
      </c>
      <c r="K99" s="37">
        <v>0.0017997685185185185</v>
      </c>
      <c r="L99" s="37">
        <v>0.0037913194444444444</v>
      </c>
      <c r="M99" s="37">
        <v>0.006390856481481481</v>
      </c>
      <c r="N99" s="75">
        <v>0.01246886574074074</v>
      </c>
    </row>
    <row r="100" spans="1:14" ht="11.25">
      <c r="A100" s="1">
        <v>35164</v>
      </c>
      <c r="B100" s="33" t="s">
        <v>103</v>
      </c>
      <c r="D100" s="1" t="s">
        <v>41</v>
      </c>
      <c r="E100" s="1" t="s">
        <v>13</v>
      </c>
      <c r="F100" s="1" t="s">
        <v>15</v>
      </c>
      <c r="G100" s="18">
        <v>0.0001421296296296296</v>
      </c>
      <c r="H100" s="18">
        <v>0.0003443287037037037</v>
      </c>
      <c r="I100" s="18">
        <v>0.0005387731481481481</v>
      </c>
      <c r="J100" s="37">
        <v>0.0011083333333333333</v>
      </c>
      <c r="K100" s="37">
        <v>0.0017427083333333333</v>
      </c>
      <c r="L100" s="37">
        <v>0.0037960648148148146</v>
      </c>
      <c r="M100" s="75"/>
      <c r="N100" s="75"/>
    </row>
    <row r="101" spans="1:14" s="14" customFormat="1" ht="11.25">
      <c r="A101" s="15">
        <v>35121</v>
      </c>
      <c r="B101" s="16" t="s">
        <v>76</v>
      </c>
      <c r="C101" s="15"/>
      <c r="D101" s="15" t="s">
        <v>41</v>
      </c>
      <c r="E101" s="15" t="s">
        <v>11</v>
      </c>
      <c r="F101" s="1" t="s">
        <v>15</v>
      </c>
      <c r="G101" s="18">
        <v>0.00014479166666666666</v>
      </c>
      <c r="H101" s="18">
        <v>0.00035034722222222216</v>
      </c>
      <c r="I101" s="18">
        <v>0.0005475694444444445</v>
      </c>
      <c r="J101" s="37">
        <v>0.0011202546296296297</v>
      </c>
      <c r="K101" s="37">
        <v>0.0017368055555555555</v>
      </c>
      <c r="L101" s="37"/>
      <c r="M101" s="75"/>
      <c r="N101" s="75"/>
    </row>
    <row r="102" spans="1:14" ht="11.25">
      <c r="A102" s="67">
        <v>35132</v>
      </c>
      <c r="B102" s="68" t="s">
        <v>181</v>
      </c>
      <c r="D102" s="69" t="s">
        <v>41</v>
      </c>
      <c r="E102" s="69" t="s">
        <v>11</v>
      </c>
      <c r="F102" s="1" t="s">
        <v>15</v>
      </c>
      <c r="G102" s="49">
        <v>12.96</v>
      </c>
      <c r="H102" s="49">
        <v>31</v>
      </c>
      <c r="I102" s="18">
        <v>0.0005489583333333333</v>
      </c>
      <c r="J102" s="37">
        <v>0.0011103009259259258</v>
      </c>
      <c r="K102" s="37">
        <v>0.0017159722222222222</v>
      </c>
      <c r="L102" s="37">
        <v>0.003781944444444444</v>
      </c>
      <c r="M102" s="49"/>
      <c r="N102" s="49"/>
    </row>
    <row r="103" spans="1:14" s="14" customFormat="1" ht="11.25">
      <c r="A103" s="15">
        <v>35006</v>
      </c>
      <c r="B103" s="16" t="s">
        <v>79</v>
      </c>
      <c r="C103" s="15"/>
      <c r="D103" s="15" t="s">
        <v>41</v>
      </c>
      <c r="E103" s="15" t="s">
        <v>13</v>
      </c>
      <c r="F103" s="15" t="s">
        <v>15</v>
      </c>
      <c r="G103" s="24">
        <v>0.00013078703703703706</v>
      </c>
      <c r="H103" s="24">
        <v>0.0003527777777777778</v>
      </c>
      <c r="I103" s="24">
        <v>0.0005636574074074075</v>
      </c>
      <c r="J103" s="27">
        <v>0.0011625</v>
      </c>
      <c r="K103" s="27">
        <v>0.001784837962962963</v>
      </c>
      <c r="L103" s="27">
        <v>0.0038097222222222217</v>
      </c>
      <c r="M103" s="29"/>
      <c r="N103" s="29"/>
    </row>
    <row r="104" spans="1:14" s="14" customFormat="1" ht="11.25">
      <c r="A104" s="15">
        <v>35045</v>
      </c>
      <c r="B104" s="16" t="s">
        <v>83</v>
      </c>
      <c r="C104" s="15"/>
      <c r="D104" s="15" t="s">
        <v>41</v>
      </c>
      <c r="E104" s="15" t="s">
        <v>13</v>
      </c>
      <c r="F104" s="15" t="s">
        <v>15</v>
      </c>
      <c r="G104" s="24">
        <v>0.00014791666666666667</v>
      </c>
      <c r="H104" s="24">
        <v>0.0003696759259259259</v>
      </c>
      <c r="I104" s="24">
        <v>0.0005762731481481481</v>
      </c>
      <c r="J104" s="27">
        <v>0.0011859953703703705</v>
      </c>
      <c r="K104" s="27">
        <v>0.0018114583333333333</v>
      </c>
      <c r="L104" s="27">
        <v>0.004129513888888889</v>
      </c>
      <c r="M104" s="29"/>
      <c r="N104" s="29"/>
    </row>
    <row r="105" spans="1:14" ht="11.25">
      <c r="A105" s="67">
        <v>35063</v>
      </c>
      <c r="B105" s="68" t="s">
        <v>198</v>
      </c>
      <c r="D105" s="69" t="s">
        <v>41</v>
      </c>
      <c r="E105" s="69" t="s">
        <v>11</v>
      </c>
      <c r="F105" s="1" t="s">
        <v>15</v>
      </c>
      <c r="G105" s="49">
        <v>13.6</v>
      </c>
      <c r="H105" s="49"/>
      <c r="I105" s="18">
        <v>0.00060625</v>
      </c>
      <c r="J105" s="37">
        <v>0.0012722222222222223</v>
      </c>
      <c r="K105" s="37"/>
      <c r="L105" s="37"/>
      <c r="M105" s="37"/>
      <c r="N105" s="49"/>
    </row>
    <row r="106" spans="1:14" ht="11.25">
      <c r="A106" s="67">
        <v>35394</v>
      </c>
      <c r="B106" s="68" t="s">
        <v>196</v>
      </c>
      <c r="D106" s="69" t="s">
        <v>41</v>
      </c>
      <c r="E106" s="69" t="s">
        <v>11</v>
      </c>
      <c r="F106" s="1" t="s">
        <v>15</v>
      </c>
      <c r="G106" s="49">
        <v>14.4</v>
      </c>
      <c r="H106" s="49">
        <v>36.89</v>
      </c>
      <c r="I106" s="18">
        <v>0.000685763888888889</v>
      </c>
      <c r="J106" s="37">
        <v>0.001445833333333333</v>
      </c>
      <c r="K106" s="37">
        <v>0.002338888888888889</v>
      </c>
      <c r="L106" s="37"/>
      <c r="M106" s="37"/>
      <c r="N106" s="49"/>
    </row>
    <row r="107" spans="1:14" ht="11.25">
      <c r="A107" s="67">
        <v>35081</v>
      </c>
      <c r="B107" s="68" t="s">
        <v>207</v>
      </c>
      <c r="D107" s="69" t="s">
        <v>41</v>
      </c>
      <c r="E107" s="69" t="s">
        <v>13</v>
      </c>
      <c r="F107" s="1" t="s">
        <v>15</v>
      </c>
      <c r="G107" s="49">
        <v>15.71</v>
      </c>
      <c r="H107" s="49"/>
      <c r="I107" s="37">
        <v>0.0007799768518518519</v>
      </c>
      <c r="J107" s="37">
        <v>0.0016391203703703704</v>
      </c>
      <c r="K107" s="37"/>
      <c r="L107" s="37"/>
      <c r="M107" s="37"/>
      <c r="N107" s="49"/>
    </row>
    <row r="108" spans="1:14" s="14" customFormat="1" ht="11.25">
      <c r="A108" s="15">
        <v>35122</v>
      </c>
      <c r="B108" s="16" t="s">
        <v>10</v>
      </c>
      <c r="C108" s="15">
        <v>1</v>
      </c>
      <c r="D108" s="15" t="s">
        <v>8</v>
      </c>
      <c r="E108" s="15" t="s">
        <v>11</v>
      </c>
      <c r="F108" s="15">
        <v>1</v>
      </c>
      <c r="G108" s="24">
        <v>0.00011574074074074073</v>
      </c>
      <c r="H108" s="24">
        <v>0.0002800925925925926</v>
      </c>
      <c r="I108" s="24">
        <v>0.00043877314814814804</v>
      </c>
      <c r="J108" s="27">
        <v>0.0008962962962962962</v>
      </c>
      <c r="K108" s="27">
        <v>0.0013908564814814814</v>
      </c>
      <c r="L108" s="27">
        <v>0.002994560185185185</v>
      </c>
      <c r="M108" s="29">
        <v>0.00537511574074074</v>
      </c>
      <c r="N108" s="29">
        <v>0.011726620370370372</v>
      </c>
    </row>
    <row r="109" spans="1:14" ht="11.25">
      <c r="A109" s="67">
        <v>35210</v>
      </c>
      <c r="B109" s="68" t="s">
        <v>175</v>
      </c>
      <c r="D109" s="69" t="s">
        <v>8</v>
      </c>
      <c r="E109" s="69" t="s">
        <v>13</v>
      </c>
      <c r="F109" s="1" t="s">
        <v>15</v>
      </c>
      <c r="G109" s="49">
        <v>10.85</v>
      </c>
      <c r="H109" s="49">
        <v>26.15</v>
      </c>
      <c r="I109" s="18">
        <v>0.0004571759259259259</v>
      </c>
      <c r="J109" s="37">
        <v>0.0009217592592592592</v>
      </c>
      <c r="K109" s="37">
        <v>0.0013863425925925927</v>
      </c>
      <c r="L109" s="37">
        <v>0.0030631944444444443</v>
      </c>
      <c r="M109" s="37">
        <v>0.005412615740740741</v>
      </c>
      <c r="N109" s="49"/>
    </row>
    <row r="110" spans="1:14" ht="11.25">
      <c r="A110" s="1">
        <v>35630</v>
      </c>
      <c r="B110" s="33" t="s">
        <v>12</v>
      </c>
      <c r="D110" s="1" t="s">
        <v>8</v>
      </c>
      <c r="E110" s="1" t="s">
        <v>13</v>
      </c>
      <c r="F110" s="1">
        <v>2</v>
      </c>
      <c r="G110" s="18">
        <v>0.00013113425925925925</v>
      </c>
      <c r="H110" s="18"/>
      <c r="I110" s="18">
        <v>0.00045810185185185184</v>
      </c>
      <c r="J110" s="37">
        <v>0.0008868055555555556</v>
      </c>
      <c r="K110" s="37">
        <v>0.0013530092592592593</v>
      </c>
      <c r="L110" s="37">
        <v>0.00286875</v>
      </c>
      <c r="M110" s="75">
        <v>0.004904166666666667</v>
      </c>
      <c r="N110" s="75">
        <v>0.010720833333333334</v>
      </c>
    </row>
    <row r="111" spans="1:14" s="14" customFormat="1" ht="11.25">
      <c r="A111" s="15">
        <v>35170</v>
      </c>
      <c r="B111" s="16" t="s">
        <v>14</v>
      </c>
      <c r="C111" s="15"/>
      <c r="D111" s="15" t="s">
        <v>8</v>
      </c>
      <c r="E111" s="15" t="s">
        <v>11</v>
      </c>
      <c r="F111" s="1" t="s">
        <v>15</v>
      </c>
      <c r="G111" s="18">
        <v>0.00012453703703703702</v>
      </c>
      <c r="H111" s="18">
        <v>0.00029409722222222223</v>
      </c>
      <c r="I111" s="18">
        <v>0.0004614583333333333</v>
      </c>
      <c r="J111" s="37">
        <v>0.0009000000000000001</v>
      </c>
      <c r="K111" s="37">
        <v>0.0013721064814814813</v>
      </c>
      <c r="L111" s="37">
        <v>0.0029341435185185182</v>
      </c>
      <c r="M111" s="75">
        <v>0.005320717592592592</v>
      </c>
      <c r="N111" s="75"/>
    </row>
    <row r="112" spans="1:14" s="14" customFormat="1" ht="11.25">
      <c r="A112" s="14">
        <v>35037</v>
      </c>
      <c r="B112" s="16" t="s">
        <v>23</v>
      </c>
      <c r="D112" s="14" t="s">
        <v>8</v>
      </c>
      <c r="E112" s="14" t="s">
        <v>13</v>
      </c>
      <c r="F112" s="14">
        <v>2</v>
      </c>
      <c r="G112" s="42">
        <v>0.00012581018518518516</v>
      </c>
      <c r="H112" s="42">
        <v>0.00030081018518518515</v>
      </c>
      <c r="I112" s="42">
        <v>0.00047557870370370375</v>
      </c>
      <c r="J112" s="44">
        <v>0.0009530092592592593</v>
      </c>
      <c r="K112" s="44">
        <v>0.0014768518518518516</v>
      </c>
      <c r="L112" s="44">
        <v>0.0032609953703703703</v>
      </c>
      <c r="M112" s="41">
        <v>0.0057177083333333325</v>
      </c>
      <c r="N112" s="41"/>
    </row>
    <row r="113" spans="1:14" s="14" customFormat="1" ht="11.25">
      <c r="A113" s="14">
        <v>35035</v>
      </c>
      <c r="B113" s="16" t="s">
        <v>22</v>
      </c>
      <c r="D113" s="14" t="s">
        <v>8</v>
      </c>
      <c r="E113" s="14" t="s">
        <v>13</v>
      </c>
      <c r="F113" s="14">
        <v>2</v>
      </c>
      <c r="G113" s="42">
        <v>0.00013171296296296298</v>
      </c>
      <c r="H113" s="42">
        <v>0.0003180555555555556</v>
      </c>
      <c r="I113" s="42">
        <v>0.00048356481481481487</v>
      </c>
      <c r="J113" s="44">
        <v>0.0009369212962962963</v>
      </c>
      <c r="K113" s="44">
        <v>0.0014400462962962963</v>
      </c>
      <c r="L113" s="44">
        <v>0.0030247685185185186</v>
      </c>
      <c r="M113" s="41">
        <v>0.005455902777777778</v>
      </c>
      <c r="N113" s="41"/>
    </row>
    <row r="114" spans="1:14" s="14" customFormat="1" ht="11.25">
      <c r="A114" s="15">
        <v>35536</v>
      </c>
      <c r="B114" s="16" t="s">
        <v>35</v>
      </c>
      <c r="C114" s="15">
        <v>1</v>
      </c>
      <c r="D114" s="15" t="s">
        <v>8</v>
      </c>
      <c r="E114" s="15" t="s">
        <v>11</v>
      </c>
      <c r="F114" s="15">
        <v>3</v>
      </c>
      <c r="G114" s="24"/>
      <c r="H114" s="24"/>
      <c r="I114" s="24">
        <v>0.0004959490740740741</v>
      </c>
      <c r="J114" s="27">
        <v>0.0009761574074074074</v>
      </c>
      <c r="K114" s="27">
        <v>0.0015402777777777778</v>
      </c>
      <c r="L114" s="27">
        <v>0.0032265046296296295</v>
      </c>
      <c r="M114" s="29"/>
      <c r="N114" s="29"/>
    </row>
    <row r="115" spans="1:14" ht="11.25">
      <c r="A115" s="1">
        <v>35134</v>
      </c>
      <c r="B115" s="33" t="s">
        <v>48</v>
      </c>
      <c r="D115" s="1" t="s">
        <v>8</v>
      </c>
      <c r="E115" s="1" t="s">
        <v>13</v>
      </c>
      <c r="F115" s="1">
        <v>3</v>
      </c>
      <c r="G115" s="18">
        <v>0.00013275462962962964</v>
      </c>
      <c r="H115" s="18">
        <v>0.00032905092592592594</v>
      </c>
      <c r="I115" s="18">
        <v>0.0005131944444444445</v>
      </c>
      <c r="J115" s="37">
        <v>0.0010363425925925926</v>
      </c>
      <c r="K115" s="37">
        <v>0.0016476851851851852</v>
      </c>
      <c r="L115" s="37">
        <v>0.003538541666666667</v>
      </c>
      <c r="M115" s="75"/>
      <c r="N115" s="75"/>
    </row>
    <row r="116" spans="1:11" ht="11.25">
      <c r="A116" s="1">
        <v>35390</v>
      </c>
      <c r="B116" s="33" t="s">
        <v>177</v>
      </c>
      <c r="D116" s="1" t="s">
        <v>8</v>
      </c>
      <c r="E116" s="1" t="s">
        <v>13</v>
      </c>
      <c r="F116" s="1" t="s">
        <v>15</v>
      </c>
      <c r="I116" s="18">
        <v>0.0005204861111111111</v>
      </c>
      <c r="J116" s="37">
        <v>0.0010541666666666666</v>
      </c>
      <c r="K116" s="37">
        <v>0.0016271990740740743</v>
      </c>
    </row>
    <row r="117" spans="1:14" ht="11.25">
      <c r="A117" s="1">
        <v>35524</v>
      </c>
      <c r="B117" s="53" t="s">
        <v>68</v>
      </c>
      <c r="D117" s="1" t="s">
        <v>8</v>
      </c>
      <c r="E117" s="1" t="s">
        <v>13</v>
      </c>
      <c r="F117" s="1" t="s">
        <v>15</v>
      </c>
      <c r="G117" s="18"/>
      <c r="H117" s="18"/>
      <c r="I117" s="18">
        <v>0.0005306712962962963</v>
      </c>
      <c r="J117" s="37">
        <v>0.0010900462962962962</v>
      </c>
      <c r="K117" s="37">
        <v>0.001716550925925926</v>
      </c>
      <c r="L117" s="37"/>
      <c r="M117" s="75"/>
      <c r="N117" s="75"/>
    </row>
    <row r="118" spans="1:14" ht="11.25">
      <c r="A118" s="1">
        <v>35581</v>
      </c>
      <c r="B118" s="33" t="s">
        <v>104</v>
      </c>
      <c r="D118" s="1" t="s">
        <v>8</v>
      </c>
      <c r="E118" s="1" t="s">
        <v>13</v>
      </c>
      <c r="F118" s="1" t="s">
        <v>15</v>
      </c>
      <c r="G118" s="18">
        <v>0.00014467592592592594</v>
      </c>
      <c r="H118" s="18"/>
      <c r="I118" s="18">
        <v>0.0005471064814814815</v>
      </c>
      <c r="J118" s="37">
        <v>0.0011010416666666666</v>
      </c>
      <c r="K118" s="37"/>
      <c r="L118" s="37"/>
      <c r="M118" s="75"/>
      <c r="N118" s="75"/>
    </row>
    <row r="119" spans="1:14" ht="11.25">
      <c r="A119" s="67">
        <v>35013</v>
      </c>
      <c r="B119" s="68" t="s">
        <v>179</v>
      </c>
      <c r="D119" s="69" t="s">
        <v>8</v>
      </c>
      <c r="E119" s="69" t="s">
        <v>13</v>
      </c>
      <c r="F119" s="1" t="s">
        <v>15</v>
      </c>
      <c r="G119" s="18">
        <v>0.00014513888888888888</v>
      </c>
      <c r="H119" s="49"/>
      <c r="I119" s="18">
        <v>0.0005518518518518519</v>
      </c>
      <c r="J119" s="37">
        <v>0.0010831018518518518</v>
      </c>
      <c r="K119" s="37">
        <v>0.0016363425925925927</v>
      </c>
      <c r="L119" s="37">
        <v>0.0035343749999999998</v>
      </c>
      <c r="M119" s="37">
        <v>0.006074189814814814</v>
      </c>
      <c r="N119" s="75">
        <v>0.011826157407407408</v>
      </c>
    </row>
    <row r="120" spans="1:14" ht="11.25">
      <c r="A120" s="67">
        <v>35141</v>
      </c>
      <c r="B120" s="68" t="s">
        <v>183</v>
      </c>
      <c r="D120" s="69" t="s">
        <v>8</v>
      </c>
      <c r="E120" s="69" t="s">
        <v>13</v>
      </c>
      <c r="F120" s="1" t="s">
        <v>15</v>
      </c>
      <c r="G120" s="49">
        <v>12.45</v>
      </c>
      <c r="H120" s="49"/>
      <c r="I120" s="18">
        <v>0.0005537037037037037</v>
      </c>
      <c r="J120" s="37">
        <v>0.0011341435185185185</v>
      </c>
      <c r="K120" s="37">
        <v>0.0017513888888888891</v>
      </c>
      <c r="L120" s="37"/>
      <c r="M120" s="37"/>
      <c r="N120" s="49"/>
    </row>
    <row r="121" spans="1:14" ht="11.25">
      <c r="A121" s="1">
        <v>35198</v>
      </c>
      <c r="B121" s="53" t="s">
        <v>86</v>
      </c>
      <c r="D121" s="1" t="s">
        <v>8</v>
      </c>
      <c r="E121" s="1" t="s">
        <v>13</v>
      </c>
      <c r="F121" s="1">
        <v>6</v>
      </c>
      <c r="G121" s="18">
        <v>0.0001462962962962963</v>
      </c>
      <c r="H121" s="18">
        <v>0.000350462962962963</v>
      </c>
      <c r="I121" s="18">
        <v>0.0005568287037037037</v>
      </c>
      <c r="J121" s="37">
        <v>0.0011881944444444444</v>
      </c>
      <c r="K121" s="37">
        <v>0.002022337962962963</v>
      </c>
      <c r="L121" s="37"/>
      <c r="M121" s="75"/>
      <c r="N121" s="75"/>
    </row>
    <row r="122" spans="1:14" ht="11.25">
      <c r="A122" s="1">
        <v>35528</v>
      </c>
      <c r="B122" s="33" t="s">
        <v>108</v>
      </c>
      <c r="D122" s="15" t="s">
        <v>8</v>
      </c>
      <c r="E122" s="1" t="s">
        <v>13</v>
      </c>
      <c r="F122" s="1" t="s">
        <v>15</v>
      </c>
      <c r="G122" s="18"/>
      <c r="H122" s="18"/>
      <c r="I122" s="18">
        <v>0.0005582175925925926</v>
      </c>
      <c r="J122" s="37">
        <v>0.0011457175925925927</v>
      </c>
      <c r="K122" s="37"/>
      <c r="L122" s="37"/>
      <c r="M122" s="75"/>
      <c r="N122" s="75"/>
    </row>
    <row r="123" spans="1:14" ht="11.25">
      <c r="A123" s="1">
        <v>35194</v>
      </c>
      <c r="B123" s="33" t="s">
        <v>111</v>
      </c>
      <c r="D123" s="1" t="s">
        <v>8</v>
      </c>
      <c r="E123" s="1" t="s">
        <v>13</v>
      </c>
      <c r="F123" s="1" t="s">
        <v>15</v>
      </c>
      <c r="G123" s="18">
        <v>0.0001454861111111111</v>
      </c>
      <c r="H123" s="18"/>
      <c r="I123" s="18">
        <v>0.0005747685185185185</v>
      </c>
      <c r="J123" s="37">
        <v>0.0011547453703703704</v>
      </c>
      <c r="K123" s="37">
        <v>0.002085416666666667</v>
      </c>
      <c r="L123" s="37"/>
      <c r="M123" s="75"/>
      <c r="N123" s="75"/>
    </row>
    <row r="124" spans="1:14" ht="11.25">
      <c r="A124" s="67">
        <v>35126</v>
      </c>
      <c r="B124" s="68" t="s">
        <v>189</v>
      </c>
      <c r="D124" s="69" t="s">
        <v>8</v>
      </c>
      <c r="E124" s="69" t="s">
        <v>11</v>
      </c>
      <c r="F124" s="1" t="s">
        <v>15</v>
      </c>
      <c r="G124" s="49">
        <v>12.8</v>
      </c>
      <c r="H124" s="49">
        <v>32.51</v>
      </c>
      <c r="I124" s="18">
        <v>0.0005783564814814815</v>
      </c>
      <c r="J124" s="37">
        <v>0.0012049768518518518</v>
      </c>
      <c r="K124" s="37">
        <v>0.0018697916666666665</v>
      </c>
      <c r="L124" s="37"/>
      <c r="M124" s="37"/>
      <c r="N124" s="49"/>
    </row>
    <row r="125" spans="1:14" ht="11.25">
      <c r="A125" s="67">
        <v>35175</v>
      </c>
      <c r="B125" s="68" t="s">
        <v>192</v>
      </c>
      <c r="D125" s="69" t="s">
        <v>8</v>
      </c>
      <c r="E125" s="69" t="s">
        <v>11</v>
      </c>
      <c r="F125" s="1" t="s">
        <v>15</v>
      </c>
      <c r="G125" s="49">
        <v>12.15</v>
      </c>
      <c r="H125" s="49">
        <v>31.6</v>
      </c>
      <c r="I125" s="18">
        <v>0.0005930555555555555</v>
      </c>
      <c r="J125" s="37">
        <v>0.001208101851851852</v>
      </c>
      <c r="K125" s="37">
        <v>0.0018968750000000001</v>
      </c>
      <c r="L125" s="37"/>
      <c r="M125" s="37"/>
      <c r="N125" s="49"/>
    </row>
    <row r="126" spans="1:14" ht="11.25">
      <c r="A126" s="67">
        <v>35447</v>
      </c>
      <c r="B126" s="68" t="s">
        <v>201</v>
      </c>
      <c r="D126" s="69" t="s">
        <v>8</v>
      </c>
      <c r="E126" s="69" t="s">
        <v>13</v>
      </c>
      <c r="F126" s="1" t="s">
        <v>15</v>
      </c>
      <c r="G126" s="49"/>
      <c r="H126" s="49"/>
      <c r="I126" s="18">
        <v>0.0006430555555555556</v>
      </c>
      <c r="J126" s="37">
        <v>0.0012570601851851853</v>
      </c>
      <c r="K126" s="37"/>
      <c r="L126" s="37"/>
      <c r="M126" s="37"/>
      <c r="N126" s="49"/>
    </row>
    <row r="127" spans="2:14" ht="11.25">
      <c r="B127" s="71" t="s">
        <v>186</v>
      </c>
      <c r="D127" s="76" t="s">
        <v>8</v>
      </c>
      <c r="E127" s="76" t="s">
        <v>187</v>
      </c>
      <c r="F127" s="1" t="s">
        <v>15</v>
      </c>
      <c r="G127" s="49">
        <v>12.47</v>
      </c>
      <c r="H127" s="49"/>
      <c r="I127" s="18">
        <v>0.0005711805555555556</v>
      </c>
      <c r="J127" s="37">
        <v>0.0011689814814814816</v>
      </c>
      <c r="K127" s="37">
        <v>0.0017667824074074072</v>
      </c>
      <c r="L127" s="37"/>
      <c r="M127" s="37"/>
      <c r="N127" s="49"/>
    </row>
    <row r="128" spans="1:14" ht="11.25">
      <c r="A128" s="67">
        <v>35222</v>
      </c>
      <c r="B128" s="68" t="s">
        <v>206</v>
      </c>
      <c r="D128" s="69" t="s">
        <v>41</v>
      </c>
      <c r="E128" s="69" t="s">
        <v>25</v>
      </c>
      <c r="F128" s="1" t="s">
        <v>15</v>
      </c>
      <c r="G128" s="49"/>
      <c r="H128" s="49"/>
      <c r="I128" s="37">
        <v>0.0007725694444444445</v>
      </c>
      <c r="J128" s="37">
        <v>0.0016424768518518518</v>
      </c>
      <c r="K128" s="49"/>
      <c r="L128" s="49"/>
      <c r="M128" s="49"/>
      <c r="N128" s="49"/>
    </row>
    <row r="129" spans="1:14" ht="11.25">
      <c r="A129" s="67">
        <v>35296</v>
      </c>
      <c r="B129" s="68" t="s">
        <v>209</v>
      </c>
      <c r="D129" s="69" t="s">
        <v>41</v>
      </c>
      <c r="E129" s="69" t="s">
        <v>25</v>
      </c>
      <c r="F129" s="1" t="s">
        <v>15</v>
      </c>
      <c r="G129" s="49"/>
      <c r="H129" s="49"/>
      <c r="I129" s="37">
        <v>0.0008030092592592594</v>
      </c>
      <c r="J129" s="37">
        <v>0.001807407407407407</v>
      </c>
      <c r="K129" s="49"/>
      <c r="L129" s="49"/>
      <c r="M129" s="49"/>
      <c r="N129" s="49"/>
    </row>
    <row r="130" spans="1:14" s="14" customFormat="1" ht="11.25">
      <c r="A130" s="15">
        <v>35349</v>
      </c>
      <c r="B130" s="16" t="s">
        <v>24</v>
      </c>
      <c r="C130" s="15"/>
      <c r="D130" s="15" t="s">
        <v>8</v>
      </c>
      <c r="E130" s="15" t="s">
        <v>25</v>
      </c>
      <c r="F130" s="15">
        <v>2</v>
      </c>
      <c r="G130" s="24">
        <v>0.00012581018518518516</v>
      </c>
      <c r="H130" s="24">
        <v>0.00030439814814814815</v>
      </c>
      <c r="I130" s="24">
        <v>0.0004711805555555556</v>
      </c>
      <c r="J130" s="27">
        <v>0.0009530092592592593</v>
      </c>
      <c r="K130" s="27">
        <v>0.0015104166666666666</v>
      </c>
      <c r="L130" s="27">
        <v>0.003372685185185185</v>
      </c>
      <c r="M130" s="29">
        <v>0.005895601851851852</v>
      </c>
      <c r="N130" s="29"/>
    </row>
    <row r="131" spans="1:14" s="14" customFormat="1" ht="11.25">
      <c r="A131" s="15">
        <v>35020</v>
      </c>
      <c r="B131" s="16" t="s">
        <v>38</v>
      </c>
      <c r="C131" s="15"/>
      <c r="D131" s="15" t="s">
        <v>8</v>
      </c>
      <c r="E131" s="15" t="s">
        <v>25</v>
      </c>
      <c r="F131" s="15">
        <v>4</v>
      </c>
      <c r="G131" s="24">
        <v>0.0001412037037037037</v>
      </c>
      <c r="H131" s="24">
        <v>0.00032708333333333336</v>
      </c>
      <c r="I131" s="24">
        <v>0.0005003472222222222</v>
      </c>
      <c r="J131" s="27">
        <v>0.0010396990740740742</v>
      </c>
      <c r="K131" s="27">
        <v>0.0015462962962962963</v>
      </c>
      <c r="L131" s="27">
        <v>0.0033091435185185186</v>
      </c>
      <c r="M131" s="29">
        <v>0.005713194444444444</v>
      </c>
      <c r="N131" s="29">
        <v>0.011777546296296298</v>
      </c>
    </row>
    <row r="132" spans="1:14" ht="11.25">
      <c r="A132" s="1">
        <v>35019</v>
      </c>
      <c r="B132" s="71" t="s">
        <v>176</v>
      </c>
      <c r="D132" s="69" t="s">
        <v>8</v>
      </c>
      <c r="E132" s="69" t="s">
        <v>25</v>
      </c>
      <c r="F132" s="1" t="s">
        <v>15</v>
      </c>
      <c r="G132" s="18">
        <v>0.00013310185185185186</v>
      </c>
      <c r="H132" s="49"/>
      <c r="I132" s="18">
        <v>0.0005059027777777778</v>
      </c>
      <c r="J132" s="37">
        <v>0.001025</v>
      </c>
      <c r="K132" s="37">
        <v>0.0015686342592592594</v>
      </c>
      <c r="L132" s="37">
        <v>0.0034060185185185183</v>
      </c>
      <c r="M132" s="37">
        <v>0.005878819444444444</v>
      </c>
      <c r="N132" s="49"/>
    </row>
    <row r="133" spans="1:14" s="14" customFormat="1" ht="11.25">
      <c r="A133" s="15">
        <v>35403</v>
      </c>
      <c r="B133" s="16" t="s">
        <v>51</v>
      </c>
      <c r="C133" s="15"/>
      <c r="D133" s="15" t="s">
        <v>8</v>
      </c>
      <c r="E133" s="15" t="s">
        <v>25</v>
      </c>
      <c r="F133" s="1" t="s">
        <v>15</v>
      </c>
      <c r="G133" s="18">
        <v>0.00013680555555555557</v>
      </c>
      <c r="H133" s="18">
        <v>0.00033645833333333336</v>
      </c>
      <c r="I133" s="18">
        <v>0.0005172453703703704</v>
      </c>
      <c r="J133" s="37">
        <v>0.0010405092592592593</v>
      </c>
      <c r="K133" s="37">
        <v>0.0016354166666666667</v>
      </c>
      <c r="L133" s="37"/>
      <c r="M133" s="75"/>
      <c r="N133" s="75"/>
    </row>
    <row r="134" spans="1:14" s="14" customFormat="1" ht="11.25">
      <c r="A134" s="14">
        <v>35092</v>
      </c>
      <c r="B134" s="16" t="s">
        <v>46</v>
      </c>
      <c r="D134" s="14" t="s">
        <v>8</v>
      </c>
      <c r="E134" s="14" t="s">
        <v>25</v>
      </c>
      <c r="F134" s="14">
        <v>4</v>
      </c>
      <c r="G134" s="42">
        <v>0.0001398148148148148</v>
      </c>
      <c r="H134" s="42">
        <v>0.0003429398148148148</v>
      </c>
      <c r="I134" s="42">
        <v>0.0005258101851851851</v>
      </c>
      <c r="J134" s="44">
        <v>0.0010408564814814814</v>
      </c>
      <c r="K134" s="44">
        <v>0.0015993055555555554</v>
      </c>
      <c r="L134" s="44">
        <v>0.0034400462962962965</v>
      </c>
      <c r="M134" s="41"/>
      <c r="N134" s="41"/>
    </row>
    <row r="135" spans="1:14" ht="11.25">
      <c r="A135" s="1">
        <v>35104</v>
      </c>
      <c r="B135" s="71" t="s">
        <v>178</v>
      </c>
      <c r="D135" s="69" t="s">
        <v>8</v>
      </c>
      <c r="E135" s="69" t="s">
        <v>25</v>
      </c>
      <c r="F135" s="1" t="s">
        <v>15</v>
      </c>
      <c r="G135" s="49">
        <v>12.16</v>
      </c>
      <c r="H135" s="49">
        <v>30.52</v>
      </c>
      <c r="I135" s="18">
        <v>0.0005417824074074074</v>
      </c>
      <c r="J135" s="37">
        <v>0.0011064814814814815</v>
      </c>
      <c r="K135" s="37">
        <v>0.001619212962962963</v>
      </c>
      <c r="L135" s="37">
        <v>0.0036226851851851854</v>
      </c>
      <c r="M135" s="49"/>
      <c r="N135" s="49"/>
    </row>
    <row r="136" spans="1:14" ht="11.25">
      <c r="A136" s="1">
        <v>35075</v>
      </c>
      <c r="B136" s="71" t="s">
        <v>182</v>
      </c>
      <c r="D136" s="69" t="s">
        <v>8</v>
      </c>
      <c r="E136" s="69" t="s">
        <v>25</v>
      </c>
      <c r="F136" s="1" t="s">
        <v>15</v>
      </c>
      <c r="G136" s="49">
        <v>12.7</v>
      </c>
      <c r="H136" s="49">
        <v>34.21</v>
      </c>
      <c r="I136" s="18">
        <v>0.00055625</v>
      </c>
      <c r="J136" s="37">
        <v>0.001131712962962963</v>
      </c>
      <c r="K136" s="37">
        <v>0.0017245370370370372</v>
      </c>
      <c r="L136" s="49"/>
      <c r="M136" s="49"/>
      <c r="N136" s="49"/>
    </row>
    <row r="137" spans="2:14" ht="11.25">
      <c r="B137" s="71" t="s">
        <v>184</v>
      </c>
      <c r="D137" s="69" t="s">
        <v>8</v>
      </c>
      <c r="E137" s="69" t="s">
        <v>25</v>
      </c>
      <c r="F137" s="1" t="s">
        <v>15</v>
      </c>
      <c r="G137" s="49">
        <v>12.3</v>
      </c>
      <c r="H137" s="49"/>
      <c r="I137" s="18">
        <v>0.000556712962962963</v>
      </c>
      <c r="J137" s="37">
        <v>0.0011481481481481481</v>
      </c>
      <c r="K137" s="37">
        <v>0.001744212962962963</v>
      </c>
      <c r="L137" s="49"/>
      <c r="M137" s="49"/>
      <c r="N137" s="49"/>
    </row>
    <row r="138" spans="1:14" s="14" customFormat="1" ht="11.25">
      <c r="A138" s="15">
        <v>35031</v>
      </c>
      <c r="B138" s="16" t="s">
        <v>71</v>
      </c>
      <c r="C138" s="15"/>
      <c r="D138" s="15" t="s">
        <v>8</v>
      </c>
      <c r="E138" s="15" t="s">
        <v>25</v>
      </c>
      <c r="F138" s="15">
        <v>5</v>
      </c>
      <c r="G138" s="24"/>
      <c r="H138" s="24"/>
      <c r="I138" s="24">
        <v>0.0005613425925925926</v>
      </c>
      <c r="J138" s="27">
        <v>0.0010873842592592593</v>
      </c>
      <c r="K138" s="27">
        <v>0.0016865740740740738</v>
      </c>
      <c r="L138" s="27">
        <v>0.003474768518518519</v>
      </c>
      <c r="M138" s="29">
        <v>0.006302662037037037</v>
      </c>
      <c r="N138" s="29">
        <v>0.01226412037037037</v>
      </c>
    </row>
    <row r="139" spans="1:14" ht="11.25">
      <c r="A139" s="1">
        <v>35573</v>
      </c>
      <c r="B139" s="33" t="s">
        <v>78</v>
      </c>
      <c r="D139" s="1" t="s">
        <v>8</v>
      </c>
      <c r="E139" s="1" t="s">
        <v>25</v>
      </c>
      <c r="F139" s="1" t="s">
        <v>15</v>
      </c>
      <c r="G139" s="18">
        <v>0.00013900462962962963</v>
      </c>
      <c r="H139" s="18"/>
      <c r="I139" s="18">
        <v>0.0005668981481481481</v>
      </c>
      <c r="J139" s="37">
        <v>0.0011430555555555554</v>
      </c>
      <c r="K139" s="37">
        <v>0.0017523148148148148</v>
      </c>
      <c r="L139" s="37">
        <v>0.0038185185185185184</v>
      </c>
      <c r="M139" s="75"/>
      <c r="N139" s="75"/>
    </row>
    <row r="140" spans="1:14" ht="11.25">
      <c r="A140" s="1">
        <v>35099</v>
      </c>
      <c r="B140" s="71" t="s">
        <v>188</v>
      </c>
      <c r="D140" s="69" t="s">
        <v>8</v>
      </c>
      <c r="E140" s="69" t="s">
        <v>25</v>
      </c>
      <c r="F140" s="1" t="s">
        <v>15</v>
      </c>
      <c r="G140" s="49">
        <v>12.38</v>
      </c>
      <c r="H140" s="49"/>
      <c r="I140" s="18">
        <v>0.0005746527777777778</v>
      </c>
      <c r="J140" s="37">
        <v>0.0011469907407407407</v>
      </c>
      <c r="K140" s="37">
        <v>0.0018131944444444443</v>
      </c>
      <c r="L140" s="49"/>
      <c r="M140" s="49"/>
      <c r="N140" s="49"/>
    </row>
    <row r="141" spans="1:14" ht="11.25">
      <c r="A141" s="1">
        <v>35226</v>
      </c>
      <c r="B141" s="33" t="s">
        <v>112</v>
      </c>
      <c r="D141" s="15" t="s">
        <v>8</v>
      </c>
      <c r="E141" s="15" t="s">
        <v>25</v>
      </c>
      <c r="F141" s="1" t="s">
        <v>15</v>
      </c>
      <c r="G141" s="18">
        <v>0.00016238425925925923</v>
      </c>
      <c r="H141" s="18"/>
      <c r="I141" s="18">
        <v>0.000590162037037037</v>
      </c>
      <c r="J141" s="37">
        <v>0.0011355324074074074</v>
      </c>
      <c r="K141" s="37"/>
      <c r="L141" s="37"/>
      <c r="M141" s="75"/>
      <c r="N141" s="75"/>
    </row>
    <row r="142" spans="2:14" ht="11.25">
      <c r="B142" s="68" t="s">
        <v>190</v>
      </c>
      <c r="D142" s="69" t="s">
        <v>8</v>
      </c>
      <c r="E142" s="69" t="s">
        <v>25</v>
      </c>
      <c r="F142" s="1" t="s">
        <v>15</v>
      </c>
      <c r="G142" s="49"/>
      <c r="H142" s="49"/>
      <c r="I142" s="18">
        <v>0.00059375</v>
      </c>
      <c r="J142" s="37">
        <v>0.0012037037037037038</v>
      </c>
      <c r="K142" s="37">
        <v>0.0018774305555555556</v>
      </c>
      <c r="L142" s="49"/>
      <c r="M142" s="49"/>
      <c r="N142" s="49"/>
    </row>
    <row r="143" spans="1:14" s="14" customFormat="1" ht="11.25">
      <c r="A143" s="14">
        <v>35515</v>
      </c>
      <c r="B143" s="16" t="s">
        <v>123</v>
      </c>
      <c r="D143" s="14" t="s">
        <v>8</v>
      </c>
      <c r="E143" s="14" t="s">
        <v>25</v>
      </c>
      <c r="F143" s="1" t="s">
        <v>15</v>
      </c>
      <c r="G143" s="18"/>
      <c r="H143" s="18"/>
      <c r="I143" s="18">
        <v>0.0006019675925925926</v>
      </c>
      <c r="J143" s="37">
        <v>0.001252199074074074</v>
      </c>
      <c r="K143" s="37"/>
      <c r="L143" s="37"/>
      <c r="M143" s="75"/>
      <c r="N143" s="75"/>
    </row>
    <row r="144" spans="1:14" ht="11.25">
      <c r="A144" s="1">
        <v>35197</v>
      </c>
      <c r="B144" s="33" t="s">
        <v>90</v>
      </c>
      <c r="D144" s="15" t="s">
        <v>8</v>
      </c>
      <c r="E144" s="15" t="s">
        <v>25</v>
      </c>
      <c r="F144" s="1">
        <v>6</v>
      </c>
      <c r="G144" s="18">
        <v>0.00015081018518518517</v>
      </c>
      <c r="H144" s="18">
        <v>0.0003791666666666666</v>
      </c>
      <c r="I144" s="18">
        <v>0.0006064814814814814</v>
      </c>
      <c r="J144" s="37">
        <v>0.0012556712962962962</v>
      </c>
      <c r="K144" s="37">
        <v>0.002030208333333333</v>
      </c>
      <c r="L144" s="37"/>
      <c r="M144" s="75"/>
      <c r="N144" s="75"/>
    </row>
    <row r="145" spans="1:14" ht="11.25">
      <c r="A145" s="67">
        <v>35152</v>
      </c>
      <c r="B145" s="68" t="s">
        <v>193</v>
      </c>
      <c r="D145" s="69" t="s">
        <v>8</v>
      </c>
      <c r="E145" s="69" t="s">
        <v>25</v>
      </c>
      <c r="F145" s="1" t="s">
        <v>15</v>
      </c>
      <c r="G145" s="49"/>
      <c r="H145" s="49"/>
      <c r="I145" s="18">
        <v>0.0006125</v>
      </c>
      <c r="J145" s="37">
        <v>0.0012533564814814814</v>
      </c>
      <c r="K145" s="37">
        <v>0.0019717592592592595</v>
      </c>
      <c r="L145" s="49"/>
      <c r="M145" s="49"/>
      <c r="N145" s="49"/>
    </row>
    <row r="146" spans="1:14" ht="11.25">
      <c r="A146" s="67">
        <v>35333</v>
      </c>
      <c r="B146" s="68" t="s">
        <v>197</v>
      </c>
      <c r="D146" s="69" t="s">
        <v>8</v>
      </c>
      <c r="E146" s="69" t="s">
        <v>25</v>
      </c>
      <c r="F146" s="1" t="s">
        <v>15</v>
      </c>
      <c r="G146" s="49"/>
      <c r="H146" s="49"/>
      <c r="I146" s="18">
        <v>0.0006211805555555556</v>
      </c>
      <c r="J146" s="37">
        <v>0.0011796296296296296</v>
      </c>
      <c r="K146" s="37"/>
      <c r="L146" s="49"/>
      <c r="M146" s="49"/>
      <c r="N146" s="49"/>
    </row>
    <row r="147" spans="1:14" ht="11.25">
      <c r="A147" s="67">
        <v>35071</v>
      </c>
      <c r="B147" s="68" t="s">
        <v>200</v>
      </c>
      <c r="D147" s="69" t="s">
        <v>8</v>
      </c>
      <c r="E147" s="69" t="s">
        <v>25</v>
      </c>
      <c r="F147" s="1" t="s">
        <v>15</v>
      </c>
      <c r="G147" s="49">
        <v>12.64</v>
      </c>
      <c r="H147" s="49"/>
      <c r="I147" s="18">
        <v>0.0006232638888888889</v>
      </c>
      <c r="J147" s="37"/>
      <c r="K147" s="37">
        <v>0.0019371527777777779</v>
      </c>
      <c r="L147" s="49"/>
      <c r="M147" s="49"/>
      <c r="N147" s="49"/>
    </row>
    <row r="148" spans="1:14" ht="11.25">
      <c r="A148" s="1">
        <v>35211</v>
      </c>
      <c r="B148" s="33" t="s">
        <v>131</v>
      </c>
      <c r="D148" s="15" t="s">
        <v>8</v>
      </c>
      <c r="E148" s="15" t="s">
        <v>25</v>
      </c>
      <c r="F148" s="1" t="s">
        <v>15</v>
      </c>
      <c r="G148" s="18"/>
      <c r="H148" s="18"/>
      <c r="I148" s="18">
        <v>0.0006243055555555555</v>
      </c>
      <c r="J148" s="37">
        <v>0.0012516203703703704</v>
      </c>
      <c r="K148" s="37">
        <v>0.002237962962962963</v>
      </c>
      <c r="L148" s="37"/>
      <c r="M148" s="75"/>
      <c r="N148" s="75"/>
    </row>
    <row r="149" spans="1:14" ht="11.25">
      <c r="A149" s="67">
        <v>35332</v>
      </c>
      <c r="B149" s="68" t="s">
        <v>199</v>
      </c>
      <c r="D149" s="69" t="s">
        <v>8</v>
      </c>
      <c r="E149" s="69" t="s">
        <v>25</v>
      </c>
      <c r="F149" s="1" t="s">
        <v>15</v>
      </c>
      <c r="G149" s="49"/>
      <c r="H149" s="49"/>
      <c r="I149" s="18">
        <v>0.0006320601851851853</v>
      </c>
      <c r="J149" s="37">
        <v>0.0012655092592592594</v>
      </c>
      <c r="K149" s="37"/>
      <c r="L149" s="49"/>
      <c r="M149" s="49"/>
      <c r="N149" s="49"/>
    </row>
    <row r="150" spans="1:14" ht="11.25">
      <c r="A150" s="1">
        <v>35487</v>
      </c>
      <c r="B150" s="33" t="s">
        <v>136</v>
      </c>
      <c r="D150" s="15" t="s">
        <v>8</v>
      </c>
      <c r="E150" s="15" t="s">
        <v>25</v>
      </c>
      <c r="F150" s="1" t="s">
        <v>15</v>
      </c>
      <c r="G150" s="18"/>
      <c r="H150" s="18"/>
      <c r="I150" s="18">
        <v>0.0006336805555555555</v>
      </c>
      <c r="J150" s="37">
        <v>0.0012864583333333332</v>
      </c>
      <c r="K150" s="37"/>
      <c r="L150" s="37"/>
      <c r="M150" s="75"/>
      <c r="N150" s="75"/>
    </row>
    <row r="151" spans="1:14" ht="11.25">
      <c r="A151" s="67">
        <v>35470</v>
      </c>
      <c r="B151" s="68" t="s">
        <v>203</v>
      </c>
      <c r="D151" s="69" t="s">
        <v>8</v>
      </c>
      <c r="E151" s="69" t="s">
        <v>25</v>
      </c>
      <c r="F151" s="1" t="s">
        <v>15</v>
      </c>
      <c r="G151" s="49"/>
      <c r="H151" s="49"/>
      <c r="I151" s="18">
        <v>0.0006418981481481482</v>
      </c>
      <c r="J151" s="37">
        <v>0.0013162037037037038</v>
      </c>
      <c r="K151" s="49"/>
      <c r="L151" s="49"/>
      <c r="M151" s="49"/>
      <c r="N151" s="49"/>
    </row>
    <row r="152" spans="1:14" ht="11.25">
      <c r="A152" s="67">
        <v>35091</v>
      </c>
      <c r="B152" s="68" t="s">
        <v>194</v>
      </c>
      <c r="D152" s="69" t="s">
        <v>8</v>
      </c>
      <c r="E152" s="69" t="s">
        <v>25</v>
      </c>
      <c r="F152" s="1" t="s">
        <v>15</v>
      </c>
      <c r="G152" s="49">
        <v>14.92</v>
      </c>
      <c r="H152" s="49"/>
      <c r="I152" s="18">
        <v>0.0006422453703703704</v>
      </c>
      <c r="J152" s="37">
        <v>0.0012859953703703705</v>
      </c>
      <c r="K152" s="37">
        <v>0.0020538194444444445</v>
      </c>
      <c r="L152" s="49"/>
      <c r="M152" s="49"/>
      <c r="N152" s="49"/>
    </row>
    <row r="153" spans="1:14" ht="11.25">
      <c r="A153" s="1">
        <v>35114</v>
      </c>
      <c r="B153" s="71" t="s">
        <v>202</v>
      </c>
      <c r="D153" s="69" t="s">
        <v>8</v>
      </c>
      <c r="E153" s="69" t="s">
        <v>25</v>
      </c>
      <c r="F153" s="1" t="s">
        <v>15</v>
      </c>
      <c r="G153" s="49">
        <v>13.6</v>
      </c>
      <c r="H153" s="49"/>
      <c r="I153" s="18">
        <v>0.0006469907407407407</v>
      </c>
      <c r="J153" s="37">
        <v>0.0012818287037037036</v>
      </c>
      <c r="K153" s="49"/>
      <c r="L153" s="49"/>
      <c r="M153" s="49"/>
      <c r="N153" s="49"/>
    </row>
    <row r="154" spans="1:14" ht="11.25">
      <c r="A154" s="1">
        <v>35433</v>
      </c>
      <c r="B154" s="33" t="s">
        <v>159</v>
      </c>
      <c r="D154" s="15" t="s">
        <v>8</v>
      </c>
      <c r="E154" s="15" t="s">
        <v>25</v>
      </c>
      <c r="F154" s="1" t="s">
        <v>15</v>
      </c>
      <c r="G154" s="18">
        <v>0.00016643518518518518</v>
      </c>
      <c r="H154" s="18"/>
      <c r="I154" s="18">
        <v>0.0006548611111111112</v>
      </c>
      <c r="J154" s="37">
        <v>0.0013379629629629629</v>
      </c>
      <c r="K154" s="37">
        <v>0.0021409722222222225</v>
      </c>
      <c r="L154" s="37"/>
      <c r="M154" s="75"/>
      <c r="N154" s="75"/>
    </row>
    <row r="155" spans="1:14" ht="11.25">
      <c r="A155" s="1">
        <v>35592</v>
      </c>
      <c r="B155" s="33" t="s">
        <v>146</v>
      </c>
      <c r="D155" s="1" t="s">
        <v>8</v>
      </c>
      <c r="E155" s="1" t="s">
        <v>25</v>
      </c>
      <c r="F155" s="1" t="s">
        <v>15</v>
      </c>
      <c r="G155" s="18"/>
      <c r="H155" s="18"/>
      <c r="I155" s="18">
        <v>0.0006634259259259259</v>
      </c>
      <c r="J155" s="37">
        <v>0.0013875</v>
      </c>
      <c r="K155" s="37"/>
      <c r="L155" s="37"/>
      <c r="M155" s="75"/>
      <c r="N155" s="75"/>
    </row>
    <row r="156" spans="1:14" ht="11.25">
      <c r="A156" s="67">
        <v>35193</v>
      </c>
      <c r="B156" s="68" t="s">
        <v>195</v>
      </c>
      <c r="D156" s="69" t="s">
        <v>8</v>
      </c>
      <c r="E156" s="69" t="s">
        <v>25</v>
      </c>
      <c r="F156" s="1" t="s">
        <v>15</v>
      </c>
      <c r="G156" s="49">
        <v>15.24</v>
      </c>
      <c r="H156" s="49"/>
      <c r="I156" s="18">
        <v>0.0006744212962962963</v>
      </c>
      <c r="J156" s="37">
        <v>0.001384837962962963</v>
      </c>
      <c r="K156" s="37">
        <v>0.0022824074074074075</v>
      </c>
      <c r="L156" s="49"/>
      <c r="M156" s="49"/>
      <c r="N156" s="49"/>
    </row>
    <row r="157" spans="1:14" ht="11.25">
      <c r="A157" s="1">
        <v>35409</v>
      </c>
      <c r="B157" s="33" t="s">
        <v>149</v>
      </c>
      <c r="D157" s="15" t="s">
        <v>8</v>
      </c>
      <c r="E157" s="1" t="s">
        <v>25</v>
      </c>
      <c r="F157" s="1" t="s">
        <v>15</v>
      </c>
      <c r="G157" s="18">
        <v>0.00017962962962962963</v>
      </c>
      <c r="H157" s="18"/>
      <c r="I157" s="37">
        <v>0.0006958333333333334</v>
      </c>
      <c r="J157" s="37">
        <v>0.0013685185185185187</v>
      </c>
      <c r="K157" s="37"/>
      <c r="L157" s="37"/>
      <c r="M157" s="75"/>
      <c r="N157" s="75"/>
    </row>
    <row r="158" spans="1:14" ht="11.25">
      <c r="A158" s="1">
        <v>35373</v>
      </c>
      <c r="B158" s="33" t="s">
        <v>153</v>
      </c>
      <c r="D158" s="1" t="s">
        <v>8</v>
      </c>
      <c r="E158" s="1" t="s">
        <v>25</v>
      </c>
      <c r="F158" s="1" t="s">
        <v>15</v>
      </c>
      <c r="G158" s="18">
        <v>0.00017013888888888886</v>
      </c>
      <c r="H158" s="18"/>
      <c r="I158" s="37">
        <v>0.0006978009259259259</v>
      </c>
      <c r="J158" s="37">
        <v>0.0013979166666666664</v>
      </c>
      <c r="K158" s="37"/>
      <c r="L158" s="37"/>
      <c r="M158" s="75"/>
      <c r="N158" s="75"/>
    </row>
    <row r="159" spans="1:14" ht="11.25">
      <c r="A159" s="1">
        <v>35208</v>
      </c>
      <c r="B159" s="33" t="s">
        <v>150</v>
      </c>
      <c r="D159" s="15" t="s">
        <v>8</v>
      </c>
      <c r="E159" s="1" t="s">
        <v>25</v>
      </c>
      <c r="F159" s="1" t="s">
        <v>15</v>
      </c>
      <c r="G159" s="18">
        <v>0.00017974537037037037</v>
      </c>
      <c r="H159" s="18"/>
      <c r="I159" s="37">
        <v>0.0007006944444444443</v>
      </c>
      <c r="J159" s="37">
        <v>0.0013780092592592592</v>
      </c>
      <c r="K159" s="37"/>
      <c r="L159" s="37"/>
      <c r="M159" s="75"/>
      <c r="N159" s="75"/>
    </row>
    <row r="160" spans="1:14" ht="11.25">
      <c r="A160" s="1">
        <v>35453</v>
      </c>
      <c r="B160" s="33" t="s">
        <v>154</v>
      </c>
      <c r="D160" s="15" t="s">
        <v>8</v>
      </c>
      <c r="E160" s="15" t="s">
        <v>25</v>
      </c>
      <c r="F160" s="1" t="s">
        <v>15</v>
      </c>
      <c r="G160" s="18">
        <v>0.0001590277777777778</v>
      </c>
      <c r="H160" s="18"/>
      <c r="I160" s="37">
        <v>0.000701736111111111</v>
      </c>
      <c r="J160" s="37">
        <v>0.001541087962962963</v>
      </c>
      <c r="K160" s="37"/>
      <c r="L160" s="37"/>
      <c r="M160" s="75"/>
      <c r="N160" s="75"/>
    </row>
    <row r="161" spans="1:14" ht="11.25">
      <c r="A161" s="1">
        <v>35483</v>
      </c>
      <c r="B161" s="33" t="s">
        <v>128</v>
      </c>
      <c r="D161" s="15" t="s">
        <v>8</v>
      </c>
      <c r="E161" s="15" t="s">
        <v>25</v>
      </c>
      <c r="F161" s="1" t="s">
        <v>15</v>
      </c>
      <c r="G161" s="18"/>
      <c r="H161" s="18"/>
      <c r="I161" s="37">
        <v>0.0007142361111111111</v>
      </c>
      <c r="J161" s="37">
        <v>0.0015201388888888888</v>
      </c>
      <c r="K161" s="37"/>
      <c r="L161" s="37"/>
      <c r="M161" s="75"/>
      <c r="N161" s="75"/>
    </row>
    <row r="162" spans="1:14" ht="11.25">
      <c r="A162" s="67">
        <v>35178</v>
      </c>
      <c r="B162" s="68" t="s">
        <v>205</v>
      </c>
      <c r="D162" s="69" t="s">
        <v>8</v>
      </c>
      <c r="E162" s="69" t="s">
        <v>25</v>
      </c>
      <c r="F162" s="1" t="s">
        <v>15</v>
      </c>
      <c r="G162" s="49">
        <v>14.39</v>
      </c>
      <c r="H162" s="49"/>
      <c r="I162" s="37">
        <v>0.000753587962962963</v>
      </c>
      <c r="J162" s="37">
        <v>0.0015423611111111113</v>
      </c>
      <c r="K162" s="49"/>
      <c r="L162" s="49"/>
      <c r="M162" s="49"/>
      <c r="N162" s="49"/>
    </row>
    <row r="163" spans="1:14" ht="11.25">
      <c r="A163" s="1">
        <v>35577</v>
      </c>
      <c r="B163" s="33" t="s">
        <v>158</v>
      </c>
      <c r="D163" s="1" t="s">
        <v>8</v>
      </c>
      <c r="E163" s="1" t="s">
        <v>25</v>
      </c>
      <c r="F163" s="1" t="s">
        <v>15</v>
      </c>
      <c r="G163" s="18">
        <v>0.0001871527777777778</v>
      </c>
      <c r="H163" s="18"/>
      <c r="I163" s="37">
        <v>0.0008778935185185184</v>
      </c>
      <c r="J163" s="37">
        <v>0.001792361111111111</v>
      </c>
      <c r="K163" s="37"/>
      <c r="L163" s="37"/>
      <c r="M163" s="75"/>
      <c r="N163" s="75"/>
    </row>
    <row r="164" spans="1:14" ht="11.25">
      <c r="A164" s="1">
        <v>35535</v>
      </c>
      <c r="B164" s="33" t="s">
        <v>155</v>
      </c>
      <c r="D164" s="1" t="s">
        <v>156</v>
      </c>
      <c r="E164" s="1" t="s">
        <v>25</v>
      </c>
      <c r="F164" s="1" t="s">
        <v>15</v>
      </c>
      <c r="G164" s="18"/>
      <c r="H164" s="18"/>
      <c r="I164" s="37">
        <v>0.0007512731481481482</v>
      </c>
      <c r="J164" s="37">
        <v>0.0014449074074074076</v>
      </c>
      <c r="K164" s="37"/>
      <c r="L164" s="37"/>
      <c r="M164" s="75"/>
      <c r="N164" s="75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75"/>
  <sheetViews>
    <sheetView workbookViewId="0" topLeftCell="A16">
      <selection activeCell="D46" sqref="D46:G46"/>
    </sheetView>
  </sheetViews>
  <sheetFormatPr defaultColWidth="9.140625" defaultRowHeight="12.75"/>
  <cols>
    <col min="1" max="1" width="13.8515625" style="0" customWidth="1"/>
    <col min="2" max="2" width="14.140625" style="0" customWidth="1"/>
    <col min="3" max="3" width="2.7109375" style="0" customWidth="1"/>
    <col min="4" max="4" width="20.57421875" style="0" customWidth="1"/>
    <col min="5" max="5" width="12.7109375" style="0" customWidth="1"/>
    <col min="6" max="6" width="12.7109375" style="84" customWidth="1"/>
    <col min="7" max="7" width="11.7109375" style="84" customWidth="1"/>
    <col min="8" max="8" width="15.8515625" style="85" customWidth="1"/>
    <col min="9" max="16384" width="21.28125" style="0" customWidth="1"/>
  </cols>
  <sheetData>
    <row r="1" spans="4:5" ht="13.5" customHeight="1">
      <c r="D1" s="83" t="s">
        <v>210</v>
      </c>
      <c r="E1" s="83"/>
    </row>
    <row r="3" spans="2:7" ht="13.5" customHeight="1">
      <c r="B3" s="86"/>
      <c r="C3" s="86"/>
      <c r="D3" s="86"/>
      <c r="E3" s="87"/>
      <c r="F3" s="88"/>
      <c r="G3" s="89"/>
    </row>
    <row r="4" spans="1:7" ht="13.5" customHeight="1">
      <c r="A4" s="90" t="s">
        <v>211</v>
      </c>
      <c r="B4" s="86" t="s">
        <v>212</v>
      </c>
      <c r="C4" s="86"/>
      <c r="D4" s="91" t="s">
        <v>52</v>
      </c>
      <c r="E4" s="92">
        <v>0.001654050925925926</v>
      </c>
      <c r="F4" s="93">
        <v>38655</v>
      </c>
      <c r="G4" s="94" t="s">
        <v>213</v>
      </c>
    </row>
    <row r="5" spans="1:7" ht="13.5" customHeight="1">
      <c r="A5" s="90" t="s">
        <v>211</v>
      </c>
      <c r="B5" s="86" t="s">
        <v>212</v>
      </c>
      <c r="C5" s="86"/>
      <c r="D5" s="91" t="s">
        <v>52</v>
      </c>
      <c r="E5" s="92">
        <v>0.0016031250000000002</v>
      </c>
      <c r="F5" s="93">
        <v>38691</v>
      </c>
      <c r="G5" s="94" t="s">
        <v>214</v>
      </c>
    </row>
    <row r="6" spans="2:7" ht="13.5" customHeight="1">
      <c r="B6" s="95"/>
      <c r="C6" s="95"/>
      <c r="D6" s="95"/>
      <c r="E6" s="96"/>
      <c r="F6" s="97"/>
      <c r="G6" s="97"/>
    </row>
    <row r="7" spans="2:7" ht="13.5" customHeight="1">
      <c r="B7" s="95"/>
      <c r="C7" s="95"/>
      <c r="D7" s="95"/>
      <c r="E7" s="96"/>
      <c r="F7" s="97"/>
      <c r="G7" s="97"/>
    </row>
    <row r="8" spans="2:7" ht="13.5" customHeight="1">
      <c r="B8" s="95"/>
      <c r="C8" s="95"/>
      <c r="D8" s="83" t="s">
        <v>215</v>
      </c>
      <c r="E8" s="83"/>
      <c r="F8" s="97"/>
      <c r="G8" s="97"/>
    </row>
    <row r="9" spans="2:7" ht="13.5" customHeight="1">
      <c r="B9" s="95"/>
      <c r="C9" s="95"/>
      <c r="D9" s="95"/>
      <c r="E9" s="96"/>
      <c r="F9" s="97"/>
      <c r="G9" s="97"/>
    </row>
    <row r="10" spans="1:7" ht="13.5" customHeight="1">
      <c r="A10" s="90" t="s">
        <v>216</v>
      </c>
      <c r="B10" s="86" t="s">
        <v>217</v>
      </c>
      <c r="C10" s="86"/>
      <c r="D10" s="91" t="s">
        <v>101</v>
      </c>
      <c r="E10" s="98">
        <v>0.0001337962962962963</v>
      </c>
      <c r="F10" s="93">
        <v>38676</v>
      </c>
      <c r="G10" s="94" t="s">
        <v>213</v>
      </c>
    </row>
    <row r="11" spans="1:7" ht="13.5" customHeight="1">
      <c r="A11" s="90" t="s">
        <v>216</v>
      </c>
      <c r="B11" s="86" t="s">
        <v>217</v>
      </c>
      <c r="C11" s="86"/>
      <c r="D11" s="91" t="s">
        <v>101</v>
      </c>
      <c r="E11" s="98">
        <v>0.00013113425925925925</v>
      </c>
      <c r="F11" s="93">
        <v>38760</v>
      </c>
      <c r="G11" s="94" t="s">
        <v>213</v>
      </c>
    </row>
    <row r="12" spans="1:7" ht="13.5" customHeight="1">
      <c r="A12" s="90" t="s">
        <v>218</v>
      </c>
      <c r="B12" s="86" t="s">
        <v>217</v>
      </c>
      <c r="C12" s="86"/>
      <c r="D12" s="91" t="s">
        <v>101</v>
      </c>
      <c r="E12" s="92">
        <v>0.0010202546296296296</v>
      </c>
      <c r="F12" s="93">
        <v>38787</v>
      </c>
      <c r="G12" s="94" t="s">
        <v>214</v>
      </c>
    </row>
    <row r="13" spans="1:7" ht="13.5" customHeight="1">
      <c r="A13" s="90" t="s">
        <v>219</v>
      </c>
      <c r="B13" s="86" t="s">
        <v>217</v>
      </c>
      <c r="C13" s="86"/>
      <c r="D13" s="91" t="s">
        <v>101</v>
      </c>
      <c r="E13" s="98">
        <v>0.0003284722222222222</v>
      </c>
      <c r="F13" s="93">
        <v>38690</v>
      </c>
      <c r="G13" s="94" t="s">
        <v>213</v>
      </c>
    </row>
    <row r="14" spans="1:8" ht="13.5" customHeight="1">
      <c r="A14" s="90" t="s">
        <v>219</v>
      </c>
      <c r="B14" s="86" t="s">
        <v>217</v>
      </c>
      <c r="C14" s="86"/>
      <c r="D14" s="91" t="s">
        <v>101</v>
      </c>
      <c r="E14" s="98">
        <v>0.00032233796296296296</v>
      </c>
      <c r="F14" s="93">
        <v>38760</v>
      </c>
      <c r="G14" s="94" t="s">
        <v>213</v>
      </c>
      <c r="H14" s="85" t="s">
        <v>220</v>
      </c>
    </row>
    <row r="15" spans="1:7" ht="13.5" customHeight="1">
      <c r="A15" s="90" t="s">
        <v>219</v>
      </c>
      <c r="B15" s="86" t="s">
        <v>217</v>
      </c>
      <c r="C15" s="86"/>
      <c r="D15" s="91" t="s">
        <v>101</v>
      </c>
      <c r="E15" s="98">
        <v>0.000325</v>
      </c>
      <c r="F15" s="93">
        <v>38752</v>
      </c>
      <c r="G15" s="94" t="s">
        <v>221</v>
      </c>
    </row>
    <row r="16" spans="1:7" ht="13.5" customHeight="1">
      <c r="A16" s="90" t="s">
        <v>222</v>
      </c>
      <c r="B16" s="86" t="s">
        <v>217</v>
      </c>
      <c r="C16" s="86"/>
      <c r="D16" s="91" t="s">
        <v>101</v>
      </c>
      <c r="E16" s="98">
        <v>0.0005190972222222222</v>
      </c>
      <c r="F16" s="99">
        <v>38704</v>
      </c>
      <c r="G16" s="100" t="s">
        <v>213</v>
      </c>
    </row>
    <row r="17" spans="1:7" ht="13.5" customHeight="1">
      <c r="A17" s="90" t="s">
        <v>222</v>
      </c>
      <c r="B17" s="86" t="s">
        <v>217</v>
      </c>
      <c r="C17" s="86"/>
      <c r="D17" s="91" t="s">
        <v>101</v>
      </c>
      <c r="E17" s="98">
        <v>0.0005171296296296296</v>
      </c>
      <c r="F17" s="93">
        <v>38774</v>
      </c>
      <c r="G17" s="94" t="s">
        <v>213</v>
      </c>
    </row>
    <row r="18" spans="1:7" ht="13.5" customHeight="1">
      <c r="A18" s="90" t="s">
        <v>222</v>
      </c>
      <c r="B18" s="86" t="s">
        <v>217</v>
      </c>
      <c r="C18" s="86"/>
      <c r="D18" s="91" t="s">
        <v>101</v>
      </c>
      <c r="E18" s="98">
        <v>0.0005118055555555556</v>
      </c>
      <c r="F18" s="93">
        <v>38786</v>
      </c>
      <c r="G18" s="94" t="s">
        <v>214</v>
      </c>
    </row>
    <row r="19" spans="1:7" ht="13.5" customHeight="1">
      <c r="A19" s="90" t="s">
        <v>222</v>
      </c>
      <c r="B19" s="86" t="s">
        <v>217</v>
      </c>
      <c r="C19" s="86"/>
      <c r="D19" s="91" t="s">
        <v>101</v>
      </c>
      <c r="E19" s="98">
        <v>0.0004958333333333334</v>
      </c>
      <c r="F19" s="93">
        <v>38787</v>
      </c>
      <c r="G19" s="94" t="s">
        <v>214</v>
      </c>
    </row>
    <row r="20" spans="1:7" ht="13.5" customHeight="1">
      <c r="A20" s="90" t="s">
        <v>216</v>
      </c>
      <c r="B20" s="86" t="s">
        <v>223</v>
      </c>
      <c r="C20" s="86"/>
      <c r="D20" s="91" t="s">
        <v>7</v>
      </c>
      <c r="E20" s="98">
        <v>0.00011701388888888889</v>
      </c>
      <c r="F20" s="99">
        <v>38675</v>
      </c>
      <c r="G20" s="101" t="s">
        <v>224</v>
      </c>
    </row>
    <row r="21" spans="1:7" ht="13.5" customHeight="1">
      <c r="A21" s="90" t="s">
        <v>218</v>
      </c>
      <c r="B21" s="86" t="s">
        <v>223</v>
      </c>
      <c r="C21" s="86"/>
      <c r="D21" s="91" t="s">
        <v>7</v>
      </c>
      <c r="E21" s="102">
        <v>0.0008917824074074074</v>
      </c>
      <c r="F21" s="99">
        <v>38542</v>
      </c>
      <c r="G21" s="100" t="s">
        <v>214</v>
      </c>
    </row>
    <row r="22" spans="1:7" ht="13.5" customHeight="1">
      <c r="A22" s="90" t="s">
        <v>218</v>
      </c>
      <c r="B22" s="86" t="s">
        <v>223</v>
      </c>
      <c r="C22" s="86"/>
      <c r="D22" s="91" t="s">
        <v>7</v>
      </c>
      <c r="E22" s="102">
        <v>0.0008881944444444444</v>
      </c>
      <c r="F22" s="99">
        <v>38625</v>
      </c>
      <c r="G22" s="100" t="s">
        <v>225</v>
      </c>
    </row>
    <row r="23" spans="1:7" ht="13.5" customHeight="1">
      <c r="A23" s="90" t="s">
        <v>218</v>
      </c>
      <c r="B23" s="86" t="s">
        <v>223</v>
      </c>
      <c r="C23" s="86"/>
      <c r="D23" s="91" t="s">
        <v>7</v>
      </c>
      <c r="E23" s="102">
        <v>0.0008642361111111111</v>
      </c>
      <c r="F23" s="99">
        <v>38644</v>
      </c>
      <c r="G23" s="100" t="s">
        <v>226</v>
      </c>
    </row>
    <row r="24" spans="1:7" ht="13.5" customHeight="1">
      <c r="A24" s="90" t="s">
        <v>218</v>
      </c>
      <c r="B24" s="86" t="s">
        <v>223</v>
      </c>
      <c r="C24" s="86"/>
      <c r="D24" s="91" t="s">
        <v>7</v>
      </c>
      <c r="E24" s="102">
        <v>0.0008601851851851852</v>
      </c>
      <c r="F24" s="99">
        <v>38648</v>
      </c>
      <c r="G24" s="100" t="s">
        <v>226</v>
      </c>
    </row>
    <row r="25" spans="1:7" ht="13.5" customHeight="1">
      <c r="A25" s="90" t="s">
        <v>218</v>
      </c>
      <c r="B25" s="86" t="s">
        <v>223</v>
      </c>
      <c r="C25" s="86"/>
      <c r="D25" s="91" t="s">
        <v>7</v>
      </c>
      <c r="E25" s="102">
        <v>0.0008526620370370371</v>
      </c>
      <c r="F25" s="99">
        <v>38654</v>
      </c>
      <c r="G25" s="100" t="s">
        <v>226</v>
      </c>
    </row>
    <row r="26" spans="1:7" ht="13.5" customHeight="1">
      <c r="A26" s="90" t="s">
        <v>218</v>
      </c>
      <c r="B26" s="86" t="s">
        <v>223</v>
      </c>
      <c r="C26" s="86"/>
      <c r="D26" s="91" t="s">
        <v>7</v>
      </c>
      <c r="E26" s="102">
        <v>0.0008484953703703704</v>
      </c>
      <c r="F26" s="99">
        <v>38759</v>
      </c>
      <c r="G26" s="100" t="s">
        <v>226</v>
      </c>
    </row>
    <row r="27" spans="1:7" ht="13.5" customHeight="1">
      <c r="A27" s="90" t="s">
        <v>211</v>
      </c>
      <c r="B27" s="86" t="s">
        <v>223</v>
      </c>
      <c r="C27" s="86"/>
      <c r="D27" s="91" t="s">
        <v>7</v>
      </c>
      <c r="E27" s="102">
        <v>0.0013261574074074072</v>
      </c>
      <c r="F27" s="99">
        <v>38626</v>
      </c>
      <c r="G27" s="100" t="s">
        <v>225</v>
      </c>
    </row>
    <row r="28" spans="1:7" ht="13.5" customHeight="1">
      <c r="A28" s="90" t="s">
        <v>211</v>
      </c>
      <c r="B28" s="86" t="s">
        <v>223</v>
      </c>
      <c r="C28" s="86"/>
      <c r="D28" s="91" t="s">
        <v>7</v>
      </c>
      <c r="E28" s="102">
        <v>0.0013105324074074076</v>
      </c>
      <c r="F28" s="99">
        <v>38647</v>
      </c>
      <c r="G28" s="100" t="s">
        <v>226</v>
      </c>
    </row>
    <row r="29" spans="1:7" ht="13.5" customHeight="1">
      <c r="A29" s="90" t="s">
        <v>219</v>
      </c>
      <c r="B29" s="86" t="s">
        <v>223</v>
      </c>
      <c r="C29" s="86"/>
      <c r="D29" s="91" t="s">
        <v>7</v>
      </c>
      <c r="E29" s="103">
        <v>0.00027800925925925926</v>
      </c>
      <c r="F29" s="99">
        <v>38675</v>
      </c>
      <c r="G29" s="101" t="s">
        <v>224</v>
      </c>
    </row>
    <row r="30" spans="1:7" ht="13.5" customHeight="1">
      <c r="A30" s="90" t="s">
        <v>219</v>
      </c>
      <c r="B30" s="86" t="s">
        <v>223</v>
      </c>
      <c r="C30" s="86"/>
      <c r="D30" s="91" t="s">
        <v>7</v>
      </c>
      <c r="E30" s="103">
        <v>0.0002753472222222222</v>
      </c>
      <c r="F30" s="99">
        <v>38712</v>
      </c>
      <c r="G30" s="101" t="s">
        <v>214</v>
      </c>
    </row>
    <row r="31" spans="1:7" ht="13.5" customHeight="1">
      <c r="A31" s="90" t="s">
        <v>227</v>
      </c>
      <c r="B31" s="86" t="s">
        <v>223</v>
      </c>
      <c r="C31" s="86"/>
      <c r="D31" s="91" t="s">
        <v>7</v>
      </c>
      <c r="E31" s="102">
        <v>0.00293900462962963</v>
      </c>
      <c r="F31" s="99">
        <v>38625</v>
      </c>
      <c r="G31" s="100" t="s">
        <v>225</v>
      </c>
    </row>
    <row r="32" spans="1:7" ht="13.5" customHeight="1">
      <c r="A32" s="90" t="s">
        <v>227</v>
      </c>
      <c r="B32" s="86" t="s">
        <v>223</v>
      </c>
      <c r="C32" s="86"/>
      <c r="D32" s="91" t="s">
        <v>7</v>
      </c>
      <c r="E32" s="102">
        <v>0.0028393518518518516</v>
      </c>
      <c r="F32" s="99">
        <v>38655</v>
      </c>
      <c r="G32" s="100" t="s">
        <v>226</v>
      </c>
    </row>
    <row r="33" spans="1:7" ht="13.5" customHeight="1">
      <c r="A33" s="90" t="s">
        <v>222</v>
      </c>
      <c r="B33" s="86" t="s">
        <v>223</v>
      </c>
      <c r="C33" s="86"/>
      <c r="D33" s="91" t="s">
        <v>7</v>
      </c>
      <c r="E33" s="103">
        <v>0.0004369212962962963</v>
      </c>
      <c r="F33" s="99">
        <v>38640</v>
      </c>
      <c r="G33" s="100" t="s">
        <v>226</v>
      </c>
    </row>
    <row r="34" spans="1:7" ht="13.5" customHeight="1">
      <c r="A34" s="90" t="s">
        <v>222</v>
      </c>
      <c r="B34" s="86" t="s">
        <v>223</v>
      </c>
      <c r="C34" s="86"/>
      <c r="D34" s="91" t="s">
        <v>7</v>
      </c>
      <c r="E34" s="103">
        <v>0.00043217592592592597</v>
      </c>
      <c r="F34" s="99">
        <v>38654</v>
      </c>
      <c r="G34" s="100" t="s">
        <v>226</v>
      </c>
    </row>
    <row r="35" spans="1:7" ht="13.5" customHeight="1">
      <c r="A35" s="90" t="s">
        <v>222</v>
      </c>
      <c r="B35" s="86" t="s">
        <v>223</v>
      </c>
      <c r="C35" s="86"/>
      <c r="D35" s="91" t="s">
        <v>7</v>
      </c>
      <c r="E35" s="103">
        <v>0.00042662037037037034</v>
      </c>
      <c r="F35" s="99">
        <v>38712</v>
      </c>
      <c r="G35" s="100" t="s">
        <v>214</v>
      </c>
    </row>
    <row r="36" spans="1:7" ht="13.5" customHeight="1">
      <c r="A36" s="90" t="s">
        <v>222</v>
      </c>
      <c r="B36" s="86" t="s">
        <v>223</v>
      </c>
      <c r="C36" s="86"/>
      <c r="D36" s="91" t="s">
        <v>7</v>
      </c>
      <c r="E36" s="103">
        <v>0.0004212962962962963</v>
      </c>
      <c r="F36" s="99">
        <v>38714</v>
      </c>
      <c r="G36" s="100" t="s">
        <v>214</v>
      </c>
    </row>
    <row r="37" spans="1:7" ht="13.5" customHeight="1">
      <c r="A37" s="90" t="s">
        <v>228</v>
      </c>
      <c r="B37" s="86" t="s">
        <v>223</v>
      </c>
      <c r="C37" s="86"/>
      <c r="D37" s="91" t="s">
        <v>7</v>
      </c>
      <c r="E37" s="104">
        <v>0.004888888888888889</v>
      </c>
      <c r="F37" s="99">
        <v>38641</v>
      </c>
      <c r="G37" s="100" t="s">
        <v>226</v>
      </c>
    </row>
    <row r="38" spans="1:7" ht="13.5" customHeight="1">
      <c r="A38" s="90" t="s">
        <v>227</v>
      </c>
      <c r="B38" s="86" t="s">
        <v>212</v>
      </c>
      <c r="C38" s="86"/>
      <c r="D38" s="91" t="s">
        <v>27</v>
      </c>
      <c r="E38" s="105">
        <v>0.0031708333333333332</v>
      </c>
      <c r="F38" s="99">
        <v>38807</v>
      </c>
      <c r="G38" s="100" t="s">
        <v>213</v>
      </c>
    </row>
    <row r="39" spans="1:8" ht="13.5" customHeight="1">
      <c r="A39" s="90" t="s">
        <v>218</v>
      </c>
      <c r="B39" s="86" t="s">
        <v>229</v>
      </c>
      <c r="C39" s="86"/>
      <c r="D39" s="106" t="s">
        <v>12</v>
      </c>
      <c r="E39" s="107">
        <v>0.0008868055555555556</v>
      </c>
      <c r="F39" s="108">
        <v>38696</v>
      </c>
      <c r="G39" s="109" t="s">
        <v>230</v>
      </c>
      <c r="H39" s="85" t="s">
        <v>231</v>
      </c>
    </row>
    <row r="40" spans="1:7" ht="13.5" customHeight="1">
      <c r="A40" s="90" t="s">
        <v>218</v>
      </c>
      <c r="B40" s="86" t="s">
        <v>229</v>
      </c>
      <c r="C40" s="86"/>
      <c r="D40" s="106" t="s">
        <v>12</v>
      </c>
      <c r="E40" s="107">
        <v>0.0009081018518518519</v>
      </c>
      <c r="F40" s="108">
        <v>38794</v>
      </c>
      <c r="G40" s="109" t="s">
        <v>213</v>
      </c>
    </row>
    <row r="41" spans="1:7" ht="13.5" customHeight="1">
      <c r="A41" s="90" t="s">
        <v>211</v>
      </c>
      <c r="B41" s="86" t="s">
        <v>229</v>
      </c>
      <c r="C41" s="86"/>
      <c r="D41" s="106" t="s">
        <v>12</v>
      </c>
      <c r="E41" s="107">
        <v>0.0013630787037037038</v>
      </c>
      <c r="F41" s="108">
        <v>38689</v>
      </c>
      <c r="G41" s="109" t="s">
        <v>214</v>
      </c>
    </row>
    <row r="42" spans="1:7" ht="13.5" customHeight="1">
      <c r="A42" s="90" t="s">
        <v>211</v>
      </c>
      <c r="B42" s="86" t="s">
        <v>229</v>
      </c>
      <c r="C42" s="86"/>
      <c r="D42" s="106" t="s">
        <v>12</v>
      </c>
      <c r="E42" s="107">
        <v>0.0013530092592592593</v>
      </c>
      <c r="F42" s="108">
        <v>38789</v>
      </c>
      <c r="G42" s="109" t="s">
        <v>214</v>
      </c>
    </row>
    <row r="43" spans="1:7" ht="13.5" customHeight="1">
      <c r="A43" s="90" t="s">
        <v>227</v>
      </c>
      <c r="B43" s="86" t="s">
        <v>229</v>
      </c>
      <c r="C43" s="86"/>
      <c r="D43" s="110" t="s">
        <v>12</v>
      </c>
      <c r="E43" s="102">
        <v>0.0029952546296296294</v>
      </c>
      <c r="F43" s="99">
        <v>38675</v>
      </c>
      <c r="G43" s="100" t="s">
        <v>213</v>
      </c>
    </row>
    <row r="44" spans="1:7" ht="13.5" customHeight="1">
      <c r="A44" s="90" t="s">
        <v>227</v>
      </c>
      <c r="B44" s="86" t="s">
        <v>229</v>
      </c>
      <c r="C44" s="86"/>
      <c r="D44" s="110" t="s">
        <v>12</v>
      </c>
      <c r="E44" s="102">
        <v>0.00286875</v>
      </c>
      <c r="F44" s="99">
        <v>38789</v>
      </c>
      <c r="G44" s="100" t="s">
        <v>214</v>
      </c>
    </row>
    <row r="45" spans="1:8" ht="13.5" customHeight="1">
      <c r="A45" s="90" t="s">
        <v>228</v>
      </c>
      <c r="B45" s="86" t="s">
        <v>229</v>
      </c>
      <c r="C45" s="86"/>
      <c r="D45" s="106" t="s">
        <v>12</v>
      </c>
      <c r="E45" s="111">
        <v>0.004904166666666667</v>
      </c>
      <c r="F45" s="112">
        <v>38695</v>
      </c>
      <c r="G45" s="113" t="s">
        <v>230</v>
      </c>
      <c r="H45" s="85" t="s">
        <v>231</v>
      </c>
    </row>
    <row r="46" spans="1:7" ht="13.5" customHeight="1">
      <c r="A46" s="90" t="s">
        <v>228</v>
      </c>
      <c r="B46" s="86" t="s">
        <v>229</v>
      </c>
      <c r="C46" s="86"/>
      <c r="D46" s="106" t="s">
        <v>12</v>
      </c>
      <c r="E46" s="111">
        <v>0.004920138888888889</v>
      </c>
      <c r="F46" s="112">
        <v>38790</v>
      </c>
      <c r="G46" s="113" t="s">
        <v>214</v>
      </c>
    </row>
    <row r="47" spans="1:7" ht="13.5" customHeight="1">
      <c r="A47" s="90" t="s">
        <v>232</v>
      </c>
      <c r="B47" s="86" t="s">
        <v>229</v>
      </c>
      <c r="C47" s="86"/>
      <c r="D47" s="106" t="s">
        <v>12</v>
      </c>
      <c r="E47" s="114">
        <v>0.010720833333333334</v>
      </c>
      <c r="F47" s="108">
        <v>38780</v>
      </c>
      <c r="G47" s="109" t="s">
        <v>233</v>
      </c>
    </row>
    <row r="48" spans="2:7" ht="13.5" customHeight="1">
      <c r="B48" s="86"/>
      <c r="C48" s="86"/>
      <c r="D48" s="86"/>
      <c r="E48" s="87"/>
      <c r="F48" s="89"/>
      <c r="G48" s="89"/>
    </row>
    <row r="49" spans="2:7" ht="13.5" customHeight="1">
      <c r="B49" s="86"/>
      <c r="C49" s="86"/>
      <c r="D49" s="86"/>
      <c r="E49" s="87"/>
      <c r="F49" s="89"/>
      <c r="G49" s="89"/>
    </row>
    <row r="50" spans="2:7" ht="13.5" customHeight="1">
      <c r="B50" s="86"/>
      <c r="C50" s="86"/>
      <c r="D50" s="86"/>
      <c r="E50" s="87"/>
      <c r="F50" s="89"/>
      <c r="G50" s="89"/>
    </row>
    <row r="51" spans="2:7" ht="13.5" customHeight="1">
      <c r="B51" s="86"/>
      <c r="C51" s="86"/>
      <c r="D51" s="86"/>
      <c r="E51" s="87"/>
      <c r="F51" s="89"/>
      <c r="G51" s="89"/>
    </row>
    <row r="52" spans="2:7" ht="13.5" customHeight="1">
      <c r="B52" s="86"/>
      <c r="C52" s="86"/>
      <c r="D52" s="86"/>
      <c r="E52" s="87"/>
      <c r="F52" s="89"/>
      <c r="G52" s="89"/>
    </row>
    <row r="53" spans="2:7" ht="13.5" customHeight="1">
      <c r="B53" s="86"/>
      <c r="C53" s="86"/>
      <c r="D53" s="86"/>
      <c r="E53" s="87"/>
      <c r="F53" s="89"/>
      <c r="G53" s="89"/>
    </row>
    <row r="54" spans="2:7" ht="13.5" customHeight="1">
      <c r="B54" s="86"/>
      <c r="C54" s="86"/>
      <c r="D54" s="86"/>
      <c r="E54" s="87"/>
      <c r="F54" s="89"/>
      <c r="G54" s="89"/>
    </row>
    <row r="55" spans="2:7" ht="13.5" customHeight="1">
      <c r="B55" s="95"/>
      <c r="C55" s="95"/>
      <c r="D55" s="95"/>
      <c r="E55" s="96"/>
      <c r="F55" s="97"/>
      <c r="G55" s="97"/>
    </row>
    <row r="56" ht="13.5" customHeight="1">
      <c r="C56" s="95"/>
    </row>
    <row r="57" ht="13.5" customHeight="1">
      <c r="C57" s="95"/>
    </row>
    <row r="58" spans="3:5" ht="13.5" customHeight="1">
      <c r="C58" s="95"/>
      <c r="D58" s="83"/>
      <c r="E58" s="96"/>
    </row>
    <row r="59" ht="13.5" customHeight="1">
      <c r="C59" s="95"/>
    </row>
    <row r="60" ht="13.5" customHeight="1">
      <c r="C60" s="95"/>
    </row>
    <row r="61" spans="2:7" ht="13.5" customHeight="1">
      <c r="B61" s="115"/>
      <c r="C61" s="95"/>
      <c r="D61" s="116"/>
      <c r="E61" s="96"/>
      <c r="F61" s="97"/>
      <c r="G61" s="97"/>
    </row>
    <row r="62" spans="2:7" ht="13.5" customHeight="1">
      <c r="B62" s="115"/>
      <c r="C62" s="95"/>
      <c r="D62" s="116"/>
      <c r="E62" s="96"/>
      <c r="F62" s="97"/>
      <c r="G62" s="97"/>
    </row>
    <row r="63" spans="4:7" ht="13.5" customHeight="1">
      <c r="D63" s="116"/>
      <c r="E63" s="96"/>
      <c r="F63" s="97"/>
      <c r="G63" s="97"/>
    </row>
    <row r="64" spans="4:7" ht="12.75">
      <c r="D64" s="116"/>
      <c r="E64" s="96"/>
      <c r="F64" s="97"/>
      <c r="G64" s="97"/>
    </row>
    <row r="66" spans="2:7" ht="13.5" customHeight="1">
      <c r="B66" s="115"/>
      <c r="D66" s="116"/>
      <c r="E66" s="96"/>
      <c r="F66" s="97"/>
      <c r="G66" s="97"/>
    </row>
    <row r="67" spans="4:7" ht="12.75">
      <c r="D67" s="116"/>
      <c r="E67" s="96"/>
      <c r="F67" s="97"/>
      <c r="G67" s="97"/>
    </row>
    <row r="68" spans="4:7" ht="12.75">
      <c r="D68" s="116"/>
      <c r="E68" s="96"/>
      <c r="F68" s="97"/>
      <c r="G68" s="97"/>
    </row>
    <row r="69" spans="4:7" ht="13.5" customHeight="1">
      <c r="D69" s="116"/>
      <c r="E69" s="96"/>
      <c r="F69" s="97"/>
      <c r="G69" s="97"/>
    </row>
    <row r="70" spans="4:7" ht="13.5" customHeight="1">
      <c r="D70" s="116"/>
      <c r="E70" s="96"/>
      <c r="F70" s="97"/>
      <c r="G70" s="97"/>
    </row>
    <row r="71" spans="4:7" ht="13.5" customHeight="1">
      <c r="D71" s="116"/>
      <c r="E71" s="96"/>
      <c r="F71" s="97"/>
      <c r="G71" s="97"/>
    </row>
    <row r="72" ht="13.5" customHeight="1"/>
    <row r="73" spans="2:7" ht="12.75">
      <c r="B73" s="115"/>
      <c r="D73" s="116"/>
      <c r="E73" s="96"/>
      <c r="F73" s="97"/>
      <c r="G73" s="97"/>
    </row>
    <row r="74" spans="4:7" ht="13.5" customHeight="1">
      <c r="D74" s="116"/>
      <c r="E74" s="96"/>
      <c r="F74" s="97"/>
      <c r="G74" s="97"/>
    </row>
    <row r="75" ht="13.5" customHeight="1">
      <c r="E75" s="96"/>
    </row>
    <row r="76" ht="13.5" customHeight="1"/>
    <row r="77" ht="13.5" customHeight="1"/>
    <row r="78" ht="13.5" customHeight="1"/>
    <row r="79" ht="13.5" customHeight="1"/>
    <row r="81" ht="13.5" customHeight="1"/>
    <row r="82" ht="13.5" customHeight="1"/>
    <row r="83" ht="13.5" customHeight="1"/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0"/>
  <sheetViews>
    <sheetView workbookViewId="0" topLeftCell="A1">
      <selection activeCell="I21" sqref="I21"/>
    </sheetView>
  </sheetViews>
  <sheetFormatPr defaultColWidth="9.140625" defaultRowHeight="12.75"/>
  <cols>
    <col min="2" max="2" width="13.140625" style="0" customWidth="1"/>
    <col min="4" max="4" width="19.7109375" style="0" customWidth="1"/>
    <col min="5" max="5" width="10.7109375" style="0" customWidth="1"/>
    <col min="6" max="6" width="14.8515625" style="135" customWidth="1"/>
    <col min="7" max="7" width="14.57421875" style="0" customWidth="1"/>
    <col min="8" max="8" width="11.140625" style="0" customWidth="1"/>
  </cols>
  <sheetData>
    <row r="1" spans="4:8" ht="15.75">
      <c r="D1" s="83" t="s">
        <v>210</v>
      </c>
      <c r="E1" s="83"/>
      <c r="G1" s="84"/>
      <c r="H1" s="85"/>
    </row>
    <row r="2" spans="7:8" ht="12.75">
      <c r="G2" s="84"/>
      <c r="H2" s="85"/>
    </row>
    <row r="3" spans="1:8" ht="12.75">
      <c r="A3" s="90" t="s">
        <v>216</v>
      </c>
      <c r="B3" s="86" t="s">
        <v>217</v>
      </c>
      <c r="C3" s="86"/>
      <c r="D3" s="86" t="s">
        <v>40</v>
      </c>
      <c r="E3" s="87">
        <v>12.01</v>
      </c>
      <c r="F3" s="136">
        <v>36586</v>
      </c>
      <c r="G3" s="89" t="s">
        <v>234</v>
      </c>
      <c r="H3" s="85"/>
    </row>
    <row r="4" spans="2:8" ht="12.75">
      <c r="B4" s="86" t="s">
        <v>212</v>
      </c>
      <c r="C4" s="86"/>
      <c r="D4" s="86" t="s">
        <v>61</v>
      </c>
      <c r="E4" s="87">
        <v>11.6</v>
      </c>
      <c r="F4" s="136">
        <v>36464</v>
      </c>
      <c r="G4" s="89" t="s">
        <v>234</v>
      </c>
      <c r="H4" s="85"/>
    </row>
    <row r="5" spans="2:8" ht="12.75">
      <c r="B5" s="86" t="s">
        <v>235</v>
      </c>
      <c r="C5" s="86"/>
      <c r="D5" s="117" t="s">
        <v>40</v>
      </c>
      <c r="E5" s="118">
        <v>11.32</v>
      </c>
      <c r="F5" s="137">
        <v>38018</v>
      </c>
      <c r="G5" s="119" t="s">
        <v>213</v>
      </c>
      <c r="H5" s="85"/>
    </row>
    <row r="6" spans="2:8" ht="12.75">
      <c r="B6" s="86" t="s">
        <v>236</v>
      </c>
      <c r="C6" s="86"/>
      <c r="D6" s="86" t="s">
        <v>237</v>
      </c>
      <c r="E6" s="87">
        <v>11.72</v>
      </c>
      <c r="F6" s="136">
        <v>36198</v>
      </c>
      <c r="G6" s="89"/>
      <c r="H6" s="85"/>
    </row>
    <row r="7" spans="2:8" ht="12.75">
      <c r="B7" s="86" t="s">
        <v>223</v>
      </c>
      <c r="C7" s="86"/>
      <c r="D7" s="86" t="s">
        <v>238</v>
      </c>
      <c r="E7" s="87">
        <v>11.57</v>
      </c>
      <c r="F7" s="136">
        <v>36575</v>
      </c>
      <c r="G7" s="89" t="s">
        <v>239</v>
      </c>
      <c r="H7" s="85"/>
    </row>
    <row r="8" spans="2:8" ht="12.75">
      <c r="B8" s="86" t="s">
        <v>229</v>
      </c>
      <c r="C8" s="86"/>
      <c r="D8" s="86" t="s">
        <v>79</v>
      </c>
      <c r="E8" s="87">
        <v>12.64</v>
      </c>
      <c r="F8" s="136">
        <v>36933</v>
      </c>
      <c r="G8" s="89" t="s">
        <v>234</v>
      </c>
      <c r="H8" s="85"/>
    </row>
    <row r="9" spans="2:8" ht="12.75">
      <c r="B9" s="86"/>
      <c r="C9" s="86"/>
      <c r="D9" s="86"/>
      <c r="E9" s="87"/>
      <c r="F9" s="138"/>
      <c r="G9" s="89"/>
      <c r="H9" s="85"/>
    </row>
    <row r="10" spans="1:8" ht="12.75">
      <c r="A10" s="90" t="s">
        <v>219</v>
      </c>
      <c r="B10" s="86" t="s">
        <v>217</v>
      </c>
      <c r="C10" s="86"/>
      <c r="D10" s="117" t="s">
        <v>52</v>
      </c>
      <c r="E10" s="120">
        <v>0.00034606481481481484</v>
      </c>
      <c r="F10" s="124">
        <v>38396</v>
      </c>
      <c r="G10" s="121" t="s">
        <v>213</v>
      </c>
      <c r="H10" s="85"/>
    </row>
    <row r="11" spans="2:8" ht="12.75">
      <c r="B11" s="86" t="s">
        <v>212</v>
      </c>
      <c r="C11" s="86"/>
      <c r="D11" s="86" t="s">
        <v>40</v>
      </c>
      <c r="E11" s="87">
        <v>28.41</v>
      </c>
      <c r="F11" s="136">
        <v>37275</v>
      </c>
      <c r="G11" s="89" t="s">
        <v>240</v>
      </c>
      <c r="H11" s="85"/>
    </row>
    <row r="12" spans="2:8" ht="12.75">
      <c r="B12" s="86" t="s">
        <v>235</v>
      </c>
      <c r="C12" s="86"/>
      <c r="D12" s="117" t="s">
        <v>40</v>
      </c>
      <c r="E12" s="118">
        <v>27.43</v>
      </c>
      <c r="F12" s="137">
        <v>38010</v>
      </c>
      <c r="G12" s="119" t="s">
        <v>221</v>
      </c>
      <c r="H12" s="85"/>
    </row>
    <row r="13" spans="2:8" ht="12.75">
      <c r="B13" s="86" t="s">
        <v>236</v>
      </c>
      <c r="C13" s="86"/>
      <c r="D13" s="86" t="s">
        <v>237</v>
      </c>
      <c r="E13" s="87">
        <v>27.88</v>
      </c>
      <c r="F13" s="136">
        <v>35812</v>
      </c>
      <c r="G13" s="89" t="s">
        <v>234</v>
      </c>
      <c r="H13" s="85"/>
    </row>
    <row r="14" spans="2:8" ht="12.75">
      <c r="B14" s="86" t="s">
        <v>223</v>
      </c>
      <c r="C14" s="86"/>
      <c r="D14" s="86" t="s">
        <v>238</v>
      </c>
      <c r="E14" s="87">
        <v>27.71</v>
      </c>
      <c r="F14" s="136">
        <v>36575</v>
      </c>
      <c r="G14" s="89" t="s">
        <v>239</v>
      </c>
      <c r="H14" s="85"/>
    </row>
    <row r="15" spans="2:8" ht="12.75">
      <c r="B15" s="86" t="s">
        <v>229</v>
      </c>
      <c r="C15" s="86"/>
      <c r="D15" s="86" t="s">
        <v>79</v>
      </c>
      <c r="E15" s="87">
        <v>30.48</v>
      </c>
      <c r="F15" s="136">
        <v>37675</v>
      </c>
      <c r="G15" s="89" t="s">
        <v>234</v>
      </c>
      <c r="H15" s="85"/>
    </row>
    <row r="16" spans="2:8" ht="12.75">
      <c r="B16" s="86"/>
      <c r="C16" s="86"/>
      <c r="D16" s="86"/>
      <c r="E16" s="87"/>
      <c r="F16" s="138"/>
      <c r="G16" s="89"/>
      <c r="H16" s="85"/>
    </row>
    <row r="17" spans="1:8" ht="12.75">
      <c r="A17" s="90" t="s">
        <v>222</v>
      </c>
      <c r="B17" s="86" t="s">
        <v>217</v>
      </c>
      <c r="C17" s="86"/>
      <c r="D17" s="117" t="s">
        <v>52</v>
      </c>
      <c r="E17" s="120">
        <v>0.0005556712962962962</v>
      </c>
      <c r="F17" s="137">
        <v>38437</v>
      </c>
      <c r="G17" s="118" t="s">
        <v>213</v>
      </c>
      <c r="H17" s="85"/>
    </row>
    <row r="18" spans="2:8" ht="12.75">
      <c r="B18" s="86" t="s">
        <v>212</v>
      </c>
      <c r="C18" s="86"/>
      <c r="D18" s="86" t="s">
        <v>40</v>
      </c>
      <c r="E18" s="87">
        <v>44.67</v>
      </c>
      <c r="F18" s="136">
        <v>37298</v>
      </c>
      <c r="G18" s="89" t="s">
        <v>241</v>
      </c>
      <c r="H18" s="85"/>
    </row>
    <row r="19" spans="2:8" ht="12.75">
      <c r="B19" s="86" t="s">
        <v>235</v>
      </c>
      <c r="C19" s="86"/>
      <c r="D19" s="117" t="s">
        <v>40</v>
      </c>
      <c r="E19" s="118">
        <v>43.22</v>
      </c>
      <c r="F19" s="137">
        <v>37984</v>
      </c>
      <c r="G19" s="118" t="s">
        <v>214</v>
      </c>
      <c r="H19" s="85"/>
    </row>
    <row r="20" spans="2:8" ht="12.75">
      <c r="B20" s="86" t="s">
        <v>236</v>
      </c>
      <c r="C20" s="86"/>
      <c r="D20" s="86" t="s">
        <v>237</v>
      </c>
      <c r="E20" s="87">
        <v>42.9</v>
      </c>
      <c r="F20" s="136">
        <v>36218</v>
      </c>
      <c r="G20" s="89"/>
      <c r="H20" s="85"/>
    </row>
    <row r="21" spans="2:8" ht="12.75">
      <c r="B21" s="86" t="s">
        <v>223</v>
      </c>
      <c r="C21" s="86"/>
      <c r="D21" s="86" t="s">
        <v>238</v>
      </c>
      <c r="E21" s="87">
        <v>42.51</v>
      </c>
      <c r="F21" s="136">
        <v>36889</v>
      </c>
      <c r="G21" s="89" t="s">
        <v>241</v>
      </c>
      <c r="H21" s="85"/>
    </row>
    <row r="22" spans="2:8" ht="12.75">
      <c r="B22" s="86" t="s">
        <v>229</v>
      </c>
      <c r="C22" s="86"/>
      <c r="D22" s="86" t="s">
        <v>180</v>
      </c>
      <c r="E22" s="87">
        <v>45.76</v>
      </c>
      <c r="F22" s="136">
        <v>37331</v>
      </c>
      <c r="G22" s="89" t="s">
        <v>234</v>
      </c>
      <c r="H22" s="85"/>
    </row>
    <row r="23" spans="2:8" ht="12.75">
      <c r="B23" s="86"/>
      <c r="C23" s="86"/>
      <c r="D23" s="86"/>
      <c r="E23" s="87"/>
      <c r="F23" s="138"/>
      <c r="G23" s="89"/>
      <c r="H23" s="85"/>
    </row>
    <row r="24" spans="1:8" ht="12.75">
      <c r="A24" s="90" t="s">
        <v>218</v>
      </c>
      <c r="B24" s="86" t="s">
        <v>217</v>
      </c>
      <c r="C24" s="86"/>
      <c r="D24" s="117" t="s">
        <v>52</v>
      </c>
      <c r="E24" s="122">
        <v>0.0011032407407407408</v>
      </c>
      <c r="F24" s="124">
        <v>38440</v>
      </c>
      <c r="G24" s="121" t="s">
        <v>213</v>
      </c>
      <c r="H24" s="85"/>
    </row>
    <row r="25" spans="2:8" ht="12.75">
      <c r="B25" s="86" t="s">
        <v>212</v>
      </c>
      <c r="C25" s="86"/>
      <c r="D25" s="86" t="s">
        <v>40</v>
      </c>
      <c r="E25" s="87" t="s">
        <v>242</v>
      </c>
      <c r="F25" s="136">
        <v>37298</v>
      </c>
      <c r="G25" s="89" t="s">
        <v>241</v>
      </c>
      <c r="H25" s="85"/>
    </row>
    <row r="26" spans="2:8" ht="12.75">
      <c r="B26" s="86" t="s">
        <v>235</v>
      </c>
      <c r="C26" s="86"/>
      <c r="D26" s="117" t="s">
        <v>40</v>
      </c>
      <c r="E26" s="123">
        <v>0.0010230324074074074</v>
      </c>
      <c r="F26" s="137">
        <v>37984</v>
      </c>
      <c r="G26" s="118" t="s">
        <v>214</v>
      </c>
      <c r="H26" s="85"/>
    </row>
    <row r="27" spans="2:8" ht="12.75">
      <c r="B27" s="86" t="s">
        <v>236</v>
      </c>
      <c r="C27" s="86"/>
      <c r="D27" s="86" t="s">
        <v>237</v>
      </c>
      <c r="E27" s="87" t="s">
        <v>243</v>
      </c>
      <c r="F27" s="136">
        <v>36242</v>
      </c>
      <c r="G27" s="89"/>
      <c r="H27" s="85"/>
    </row>
    <row r="28" spans="2:8" ht="12.75">
      <c r="B28" s="86" t="s">
        <v>223</v>
      </c>
      <c r="C28" s="86"/>
      <c r="D28" s="86" t="s">
        <v>237</v>
      </c>
      <c r="E28" s="87" t="s">
        <v>244</v>
      </c>
      <c r="F28" s="136">
        <v>36540</v>
      </c>
      <c r="G28" s="89" t="s">
        <v>245</v>
      </c>
      <c r="H28" s="85"/>
    </row>
    <row r="29" spans="2:8" ht="12.75">
      <c r="B29" s="86" t="s">
        <v>229</v>
      </c>
      <c r="C29" s="86"/>
      <c r="D29" s="86" t="s">
        <v>180</v>
      </c>
      <c r="E29" s="87" t="s">
        <v>246</v>
      </c>
      <c r="F29" s="136">
        <v>37331</v>
      </c>
      <c r="G29" s="89" t="s">
        <v>234</v>
      </c>
      <c r="H29" s="85"/>
    </row>
    <row r="30" spans="2:8" ht="12.75">
      <c r="B30" s="86"/>
      <c r="C30" s="86"/>
      <c r="D30" s="86"/>
      <c r="E30" s="87"/>
      <c r="F30" s="136"/>
      <c r="G30" s="89"/>
      <c r="H30" s="85"/>
    </row>
    <row r="31" spans="1:8" ht="12.75">
      <c r="A31" s="90" t="s">
        <v>211</v>
      </c>
      <c r="B31" s="86" t="s">
        <v>217</v>
      </c>
      <c r="C31" s="86"/>
      <c r="D31" s="117" t="s">
        <v>52</v>
      </c>
      <c r="E31" s="122">
        <v>0.0018159722222222223</v>
      </c>
      <c r="F31" s="124">
        <v>38443</v>
      </c>
      <c r="G31" s="121" t="s">
        <v>213</v>
      </c>
      <c r="H31" s="85"/>
    </row>
    <row r="32" spans="2:7" s="125" customFormat="1" ht="12.75">
      <c r="B32" s="126" t="s">
        <v>212</v>
      </c>
      <c r="C32" s="126"/>
      <c r="D32" s="127" t="s">
        <v>52</v>
      </c>
      <c r="E32" s="128">
        <v>0.0016031250000000002</v>
      </c>
      <c r="F32" s="129">
        <v>38691</v>
      </c>
      <c r="G32" s="130" t="s">
        <v>214</v>
      </c>
    </row>
    <row r="33" spans="2:7" s="125" customFormat="1" ht="12.75">
      <c r="B33" s="126" t="s">
        <v>235</v>
      </c>
      <c r="C33" s="126"/>
      <c r="D33" s="127" t="s">
        <v>40</v>
      </c>
      <c r="E33" s="131">
        <v>0.0016079861111111112</v>
      </c>
      <c r="F33" s="139">
        <v>37913</v>
      </c>
      <c r="G33" s="132" t="s">
        <v>213</v>
      </c>
    </row>
    <row r="34" spans="2:7" s="125" customFormat="1" ht="12.75">
      <c r="B34" s="126" t="s">
        <v>236</v>
      </c>
      <c r="C34" s="126"/>
      <c r="D34" s="126" t="s">
        <v>237</v>
      </c>
      <c r="E34" s="133" t="s">
        <v>247</v>
      </c>
      <c r="F34" s="140">
        <v>36225</v>
      </c>
      <c r="G34" s="134"/>
    </row>
    <row r="35" spans="2:8" ht="12.75">
      <c r="B35" s="86" t="s">
        <v>223</v>
      </c>
      <c r="C35" s="86"/>
      <c r="D35" s="86" t="s">
        <v>237</v>
      </c>
      <c r="E35" s="87" t="s">
        <v>248</v>
      </c>
      <c r="F35" s="136">
        <v>36554</v>
      </c>
      <c r="G35" s="89" t="s">
        <v>249</v>
      </c>
      <c r="H35" s="85"/>
    </row>
    <row r="36" spans="2:8" ht="12.75">
      <c r="B36" s="86" t="s">
        <v>229</v>
      </c>
      <c r="C36" s="86"/>
      <c r="D36" s="86" t="s">
        <v>79</v>
      </c>
      <c r="E36" s="87" t="s">
        <v>250</v>
      </c>
      <c r="F36" s="136">
        <v>37570</v>
      </c>
      <c r="G36" s="89" t="s">
        <v>234</v>
      </c>
      <c r="H36" s="85"/>
    </row>
    <row r="37" spans="2:8" ht="12.75">
      <c r="B37" s="86"/>
      <c r="C37" s="86"/>
      <c r="D37" s="86"/>
      <c r="E37" s="87"/>
      <c r="F37" s="138"/>
      <c r="G37" s="89"/>
      <c r="H37" s="85"/>
    </row>
    <row r="38" spans="1:8" ht="12.75">
      <c r="A38" s="90" t="s">
        <v>227</v>
      </c>
      <c r="B38" s="86" t="s">
        <v>235</v>
      </c>
      <c r="C38" s="86"/>
      <c r="D38" s="86" t="s">
        <v>237</v>
      </c>
      <c r="E38" s="87" t="s">
        <v>251</v>
      </c>
      <c r="F38" s="136">
        <v>35506</v>
      </c>
      <c r="G38" s="89"/>
      <c r="H38" s="85"/>
    </row>
    <row r="39" spans="2:8" ht="12.75">
      <c r="B39" s="86" t="s">
        <v>236</v>
      </c>
      <c r="C39" s="86"/>
      <c r="D39" s="86" t="s">
        <v>237</v>
      </c>
      <c r="E39" s="87" t="s">
        <v>252</v>
      </c>
      <c r="F39" s="136">
        <v>36224</v>
      </c>
      <c r="G39" s="89"/>
      <c r="H39" s="85"/>
    </row>
    <row r="40" spans="2:8" ht="12.75">
      <c r="B40" s="86" t="s">
        <v>223</v>
      </c>
      <c r="C40" s="86"/>
      <c r="D40" s="86" t="s">
        <v>237</v>
      </c>
      <c r="E40" s="87" t="s">
        <v>253</v>
      </c>
      <c r="F40" s="136">
        <v>36555</v>
      </c>
      <c r="G40" s="89" t="s">
        <v>249</v>
      </c>
      <c r="H40" s="85"/>
    </row>
    <row r="41" spans="2:8" ht="12.75">
      <c r="B41" s="86" t="s">
        <v>229</v>
      </c>
      <c r="C41" s="86"/>
      <c r="D41" s="86" t="s">
        <v>79</v>
      </c>
      <c r="E41" s="87" t="s">
        <v>254</v>
      </c>
      <c r="F41" s="136">
        <v>37619</v>
      </c>
      <c r="G41" s="89" t="s">
        <v>234</v>
      </c>
      <c r="H41" s="85"/>
    </row>
    <row r="42" spans="2:8" ht="12.75">
      <c r="B42" s="86"/>
      <c r="C42" s="86"/>
      <c r="D42" s="86"/>
      <c r="E42" s="87"/>
      <c r="F42" s="138"/>
      <c r="G42" s="89"/>
      <c r="H42" s="85"/>
    </row>
    <row r="43" spans="1:8" ht="12.75">
      <c r="A43" s="90" t="s">
        <v>228</v>
      </c>
      <c r="B43" s="86" t="s">
        <v>236</v>
      </c>
      <c r="C43" s="86"/>
      <c r="D43" s="86"/>
      <c r="E43" s="87"/>
      <c r="F43" s="138"/>
      <c r="G43" s="89"/>
      <c r="H43" s="85"/>
    </row>
    <row r="44" spans="1:8" ht="12.75">
      <c r="A44" s="90"/>
      <c r="B44" s="86" t="s">
        <v>223</v>
      </c>
      <c r="C44" s="86"/>
      <c r="D44" s="117" t="s">
        <v>73</v>
      </c>
      <c r="E44" s="123">
        <v>0.006451157407407408</v>
      </c>
      <c r="F44" s="137">
        <v>38068</v>
      </c>
      <c r="G44" s="118" t="s">
        <v>213</v>
      </c>
      <c r="H44" s="85"/>
    </row>
    <row r="45" spans="2:8" ht="12.75">
      <c r="B45" s="86" t="s">
        <v>229</v>
      </c>
      <c r="C45" s="86"/>
      <c r="D45" s="86"/>
      <c r="E45" s="87"/>
      <c r="F45" s="138"/>
      <c r="G45" s="89"/>
      <c r="H45" s="85"/>
    </row>
    <row r="46" spans="2:8" ht="12.75">
      <c r="B46" s="86"/>
      <c r="C46" s="86"/>
      <c r="D46" s="86"/>
      <c r="E46" s="87"/>
      <c r="F46" s="138"/>
      <c r="G46" s="89"/>
      <c r="H46" s="85"/>
    </row>
    <row r="47" spans="1:8" ht="12.75">
      <c r="A47" s="90" t="s">
        <v>232</v>
      </c>
      <c r="B47" s="86" t="s">
        <v>223</v>
      </c>
      <c r="C47" s="86"/>
      <c r="D47" s="86" t="s">
        <v>180</v>
      </c>
      <c r="E47" s="87" t="s">
        <v>255</v>
      </c>
      <c r="F47" s="136">
        <v>36241</v>
      </c>
      <c r="G47" s="89" t="s">
        <v>234</v>
      </c>
      <c r="H47" s="85"/>
    </row>
    <row r="48" spans="2:8" ht="12.75">
      <c r="B48" s="86" t="s">
        <v>229</v>
      </c>
      <c r="C48" s="86"/>
      <c r="D48" s="86"/>
      <c r="E48" s="87"/>
      <c r="F48" s="138"/>
      <c r="G48" s="89"/>
      <c r="H48" s="85"/>
    </row>
    <row r="49" spans="2:8" ht="12.75">
      <c r="B49" s="95"/>
      <c r="C49" s="95"/>
      <c r="D49" s="95"/>
      <c r="E49" s="96"/>
      <c r="F49" s="116"/>
      <c r="G49" s="97"/>
      <c r="H49" s="85"/>
    </row>
    <row r="50" spans="2:8" ht="12.75">
      <c r="B50" s="95"/>
      <c r="C50" s="95"/>
      <c r="D50" s="95"/>
      <c r="E50" s="96"/>
      <c r="F50" s="116"/>
      <c r="G50" s="97"/>
      <c r="H50" s="85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55"/>
  <sheetViews>
    <sheetView workbookViewId="0" topLeftCell="A23">
      <selection activeCell="K38" sqref="K38"/>
    </sheetView>
  </sheetViews>
  <sheetFormatPr defaultColWidth="9.140625" defaultRowHeight="12.75"/>
  <cols>
    <col min="1" max="1" width="9.140625" style="143" customWidth="1"/>
    <col min="2" max="2" width="14.8515625" style="143" customWidth="1"/>
    <col min="3" max="3" width="9.140625" style="143" customWidth="1"/>
    <col min="4" max="4" width="19.7109375" style="143" customWidth="1"/>
    <col min="5" max="5" width="16.7109375" style="143" customWidth="1"/>
    <col min="6" max="6" width="13.00390625" style="151" customWidth="1"/>
    <col min="7" max="7" width="12.7109375" style="143" customWidth="1"/>
    <col min="8" max="8" width="14.421875" style="143" customWidth="1"/>
    <col min="9" max="16384" width="9.140625" style="143" customWidth="1"/>
  </cols>
  <sheetData>
    <row r="1" spans="1:7" ht="12.75">
      <c r="A1" s="125"/>
      <c r="B1" s="95"/>
      <c r="C1" s="95"/>
      <c r="D1" s="95"/>
      <c r="E1" s="96"/>
      <c r="F1" s="116"/>
      <c r="G1" s="97"/>
    </row>
    <row r="2" spans="2:7" ht="15.75">
      <c r="B2" s="95"/>
      <c r="C2" s="95"/>
      <c r="D2" s="83" t="s">
        <v>215</v>
      </c>
      <c r="E2" s="83"/>
      <c r="F2" s="116"/>
      <c r="G2" s="97"/>
    </row>
    <row r="3" spans="2:7" ht="12.75">
      <c r="B3" s="95"/>
      <c r="C3" s="95"/>
      <c r="D3" s="95"/>
      <c r="E3" s="96"/>
      <c r="F3" s="116"/>
      <c r="G3" s="97"/>
    </row>
    <row r="4" spans="1:7" ht="12.75">
      <c r="A4" s="90" t="s">
        <v>216</v>
      </c>
      <c r="B4" s="86" t="s">
        <v>217</v>
      </c>
      <c r="C4" s="86"/>
      <c r="D4" s="117" t="s">
        <v>101</v>
      </c>
      <c r="E4" s="120">
        <v>0.00013113425925925925</v>
      </c>
      <c r="F4" s="124">
        <v>38760</v>
      </c>
      <c r="G4" s="121" t="s">
        <v>213</v>
      </c>
    </row>
    <row r="5" spans="2:7" ht="12.75">
      <c r="B5" s="86" t="s">
        <v>212</v>
      </c>
      <c r="C5" s="86"/>
      <c r="D5" s="86" t="s">
        <v>256</v>
      </c>
      <c r="E5" s="87">
        <v>10.69</v>
      </c>
      <c r="F5" s="136">
        <v>34038</v>
      </c>
      <c r="G5" s="89"/>
    </row>
    <row r="6" spans="2:7" ht="12.75">
      <c r="B6" s="86" t="s">
        <v>235</v>
      </c>
      <c r="C6" s="86"/>
      <c r="D6" s="86" t="s">
        <v>10</v>
      </c>
      <c r="E6" s="87">
        <v>10.38</v>
      </c>
      <c r="F6" s="136">
        <v>35882</v>
      </c>
      <c r="G6" s="89"/>
    </row>
    <row r="7" spans="2:7" ht="12.75">
      <c r="B7" s="86" t="s">
        <v>236</v>
      </c>
      <c r="C7" s="86"/>
      <c r="D7" s="86" t="s">
        <v>10</v>
      </c>
      <c r="E7" s="87">
        <v>10.15</v>
      </c>
      <c r="F7" s="136">
        <v>36575</v>
      </c>
      <c r="G7" s="89" t="s">
        <v>239</v>
      </c>
    </row>
    <row r="8" spans="2:7" ht="12.75">
      <c r="B8" s="86" t="s">
        <v>223</v>
      </c>
      <c r="C8" s="86"/>
      <c r="D8" s="117" t="s">
        <v>7</v>
      </c>
      <c r="E8" s="120">
        <v>0.00011701388888888889</v>
      </c>
      <c r="F8" s="137">
        <v>38675</v>
      </c>
      <c r="G8" s="119" t="s">
        <v>224</v>
      </c>
    </row>
    <row r="9" spans="2:7" ht="12.75">
      <c r="B9" s="86" t="s">
        <v>229</v>
      </c>
      <c r="C9" s="86"/>
      <c r="D9" s="117" t="s">
        <v>10</v>
      </c>
      <c r="E9" s="118">
        <v>10.19</v>
      </c>
      <c r="F9" s="137">
        <v>38039</v>
      </c>
      <c r="G9" s="119" t="s">
        <v>213</v>
      </c>
    </row>
    <row r="10" spans="2:7" ht="12.75">
      <c r="B10" s="86"/>
      <c r="C10" s="86"/>
      <c r="D10" s="117"/>
      <c r="E10" s="118"/>
      <c r="F10" s="137"/>
      <c r="G10" s="119"/>
    </row>
    <row r="11" spans="2:7" ht="12.75">
      <c r="B11" s="86"/>
      <c r="C11" s="86"/>
      <c r="D11" s="86"/>
      <c r="E11" s="87"/>
      <c r="F11" s="138"/>
      <c r="G11" s="89"/>
    </row>
    <row r="12" spans="1:8" ht="12.75">
      <c r="A12" s="90" t="s">
        <v>219</v>
      </c>
      <c r="B12" s="86" t="s">
        <v>217</v>
      </c>
      <c r="C12" s="86"/>
      <c r="D12" s="117" t="s">
        <v>101</v>
      </c>
      <c r="E12" s="120">
        <v>0.00032233796296296296</v>
      </c>
      <c r="F12" s="124">
        <v>38760</v>
      </c>
      <c r="G12" s="121" t="s">
        <v>213</v>
      </c>
      <c r="H12" s="143" t="s">
        <v>220</v>
      </c>
    </row>
    <row r="13" spans="2:7" ht="12.75">
      <c r="B13" s="86" t="s">
        <v>212</v>
      </c>
      <c r="C13" s="86"/>
      <c r="D13" s="86" t="s">
        <v>20</v>
      </c>
      <c r="E13" s="87">
        <v>25.31</v>
      </c>
      <c r="F13" s="136">
        <v>38073</v>
      </c>
      <c r="G13" s="89" t="s">
        <v>214</v>
      </c>
    </row>
    <row r="14" spans="2:7" ht="12.75">
      <c r="B14" s="86" t="s">
        <v>235</v>
      </c>
      <c r="C14" s="86"/>
      <c r="D14" s="86" t="s">
        <v>10</v>
      </c>
      <c r="E14" s="87">
        <v>24.89</v>
      </c>
      <c r="F14" s="136">
        <v>36247</v>
      </c>
      <c r="G14" s="89"/>
    </row>
    <row r="15" spans="2:7" ht="12.75">
      <c r="B15" s="86" t="s">
        <v>236</v>
      </c>
      <c r="C15" s="86"/>
      <c r="D15" s="117" t="s">
        <v>7</v>
      </c>
      <c r="E15" s="118">
        <v>24.66</v>
      </c>
      <c r="F15" s="137">
        <v>37981</v>
      </c>
      <c r="G15" s="119" t="s">
        <v>214</v>
      </c>
    </row>
    <row r="16" spans="2:7" ht="12.75">
      <c r="B16" s="86" t="s">
        <v>223</v>
      </c>
      <c r="C16" s="86"/>
      <c r="D16" s="117" t="s">
        <v>7</v>
      </c>
      <c r="E16" s="141">
        <v>0.0002753472222222222</v>
      </c>
      <c r="F16" s="137">
        <v>38712</v>
      </c>
      <c r="G16" s="119" t="s">
        <v>214</v>
      </c>
    </row>
    <row r="17" spans="2:7" ht="12.75">
      <c r="B17" s="86" t="s">
        <v>229</v>
      </c>
      <c r="C17" s="86"/>
      <c r="D17" s="117" t="s">
        <v>10</v>
      </c>
      <c r="E17" s="118">
        <v>24.52</v>
      </c>
      <c r="F17" s="137">
        <v>37947</v>
      </c>
      <c r="G17" s="119" t="s">
        <v>257</v>
      </c>
    </row>
    <row r="18" spans="2:7" ht="12.75">
      <c r="B18" s="86"/>
      <c r="C18" s="86"/>
      <c r="D18" s="86"/>
      <c r="E18" s="87"/>
      <c r="F18" s="138"/>
      <c r="G18" s="89"/>
    </row>
    <row r="19" spans="1:7" ht="12.75">
      <c r="A19" s="90" t="s">
        <v>222</v>
      </c>
      <c r="B19" s="86" t="s">
        <v>217</v>
      </c>
      <c r="C19" s="86"/>
      <c r="D19" s="117" t="s">
        <v>101</v>
      </c>
      <c r="E19" s="120">
        <v>0.0004958333333333334</v>
      </c>
      <c r="F19" s="124">
        <v>38787</v>
      </c>
      <c r="G19" s="121" t="s">
        <v>214</v>
      </c>
    </row>
    <row r="20" spans="2:7" ht="12.75">
      <c r="B20" s="86" t="s">
        <v>212</v>
      </c>
      <c r="C20" s="86"/>
      <c r="D20" s="86" t="s">
        <v>7</v>
      </c>
      <c r="E20" s="87">
        <v>41</v>
      </c>
      <c r="F20" s="136">
        <v>36974</v>
      </c>
      <c r="G20" s="89" t="s">
        <v>241</v>
      </c>
    </row>
    <row r="21" spans="2:7" ht="12.75">
      <c r="B21" s="86" t="s">
        <v>235</v>
      </c>
      <c r="C21" s="86"/>
      <c r="D21" s="86" t="s">
        <v>7</v>
      </c>
      <c r="E21" s="87">
        <v>38.9</v>
      </c>
      <c r="F21" s="136">
        <v>37709</v>
      </c>
      <c r="G21" s="89" t="s">
        <v>258</v>
      </c>
    </row>
    <row r="22" spans="2:7" ht="12.75">
      <c r="B22" s="86" t="s">
        <v>236</v>
      </c>
      <c r="C22" s="86"/>
      <c r="D22" s="117" t="s">
        <v>7</v>
      </c>
      <c r="E22" s="141">
        <v>0.00043414351851851855</v>
      </c>
      <c r="F22" s="137">
        <v>38374</v>
      </c>
      <c r="G22" s="118" t="s">
        <v>259</v>
      </c>
    </row>
    <row r="23" spans="2:7" ht="12.75">
      <c r="B23" s="86" t="s">
        <v>223</v>
      </c>
      <c r="C23" s="86"/>
      <c r="D23" s="117" t="s">
        <v>7</v>
      </c>
      <c r="E23" s="141">
        <v>0.0004212962962962963</v>
      </c>
      <c r="F23" s="137">
        <v>38714</v>
      </c>
      <c r="G23" s="118" t="s">
        <v>214</v>
      </c>
    </row>
    <row r="24" spans="2:7" ht="12.75">
      <c r="B24" s="86" t="s">
        <v>229</v>
      </c>
      <c r="C24" s="86"/>
      <c r="D24" s="117" t="s">
        <v>10</v>
      </c>
      <c r="E24" s="118">
        <v>38.86</v>
      </c>
      <c r="F24" s="137">
        <v>37969</v>
      </c>
      <c r="G24" s="118" t="s">
        <v>213</v>
      </c>
    </row>
    <row r="25" spans="2:7" ht="12.75">
      <c r="B25" s="86"/>
      <c r="C25" s="86"/>
      <c r="D25" s="86"/>
      <c r="E25" s="87"/>
      <c r="F25" s="138"/>
      <c r="G25" s="89"/>
    </row>
    <row r="26" spans="1:7" ht="12.75">
      <c r="A26" s="90" t="s">
        <v>218</v>
      </c>
      <c r="B26" s="86" t="s">
        <v>217</v>
      </c>
      <c r="C26" s="86"/>
      <c r="D26" s="117" t="s">
        <v>101</v>
      </c>
      <c r="E26" s="122">
        <v>0.0010202546296296296</v>
      </c>
      <c r="F26" s="124">
        <v>38787</v>
      </c>
      <c r="G26" s="121" t="s">
        <v>214</v>
      </c>
    </row>
    <row r="27" spans="2:7" ht="12.75">
      <c r="B27" s="86" t="s">
        <v>212</v>
      </c>
      <c r="C27" s="86"/>
      <c r="D27" s="86" t="s">
        <v>17</v>
      </c>
      <c r="E27" s="87" t="s">
        <v>260</v>
      </c>
      <c r="F27" s="136">
        <v>37617</v>
      </c>
      <c r="G27" s="89" t="s">
        <v>241</v>
      </c>
    </row>
    <row r="28" spans="2:7" ht="12.75">
      <c r="B28" s="86" t="s">
        <v>235</v>
      </c>
      <c r="C28" s="86"/>
      <c r="D28" s="86" t="s">
        <v>7</v>
      </c>
      <c r="E28" s="87" t="s">
        <v>261</v>
      </c>
      <c r="F28" s="136">
        <v>37617</v>
      </c>
      <c r="G28" s="89" t="s">
        <v>241</v>
      </c>
    </row>
    <row r="29" spans="2:7" ht="12.75">
      <c r="B29" s="86" t="s">
        <v>236</v>
      </c>
      <c r="C29" s="86"/>
      <c r="D29" s="117" t="s">
        <v>7</v>
      </c>
      <c r="E29" s="123">
        <v>0.0008730324074074073</v>
      </c>
      <c r="F29" s="137">
        <v>38423</v>
      </c>
      <c r="G29" s="118" t="s">
        <v>213</v>
      </c>
    </row>
    <row r="30" spans="2:7" ht="12.75">
      <c r="B30" s="86" t="s">
        <v>223</v>
      </c>
      <c r="C30" s="86"/>
      <c r="D30" s="117" t="s">
        <v>7</v>
      </c>
      <c r="E30" s="123">
        <v>0.0008484953703703704</v>
      </c>
      <c r="F30" s="137">
        <v>38759</v>
      </c>
      <c r="G30" s="118" t="s">
        <v>226</v>
      </c>
    </row>
    <row r="31" spans="2:7" ht="12.75">
      <c r="B31" s="86" t="s">
        <v>229</v>
      </c>
      <c r="C31" s="86"/>
      <c r="D31" s="144" t="s">
        <v>12</v>
      </c>
      <c r="E31" s="145">
        <v>0.0009081018518518519</v>
      </c>
      <c r="F31" s="146">
        <v>38794</v>
      </c>
      <c r="G31" s="147" t="s">
        <v>213</v>
      </c>
    </row>
    <row r="32" spans="2:8" ht="12.75">
      <c r="B32" s="86"/>
      <c r="C32" s="86"/>
      <c r="D32" s="106" t="s">
        <v>12</v>
      </c>
      <c r="E32" s="107">
        <v>0.0008868055555555556</v>
      </c>
      <c r="F32" s="108">
        <v>38696</v>
      </c>
      <c r="G32" s="109" t="s">
        <v>230</v>
      </c>
      <c r="H32" s="85" t="s">
        <v>231</v>
      </c>
    </row>
    <row r="33" spans="2:7" ht="12.75">
      <c r="B33" s="86"/>
      <c r="C33" s="86"/>
      <c r="D33" s="86"/>
      <c r="E33" s="87"/>
      <c r="F33" s="138"/>
      <c r="G33" s="89"/>
    </row>
    <row r="34" spans="1:7" ht="12.75">
      <c r="A34" s="90" t="s">
        <v>211</v>
      </c>
      <c r="B34" s="86" t="s">
        <v>212</v>
      </c>
      <c r="C34" s="86"/>
      <c r="D34" s="86" t="s">
        <v>7</v>
      </c>
      <c r="E34" s="87" t="s">
        <v>262</v>
      </c>
      <c r="F34" s="136">
        <v>36973</v>
      </c>
      <c r="G34" s="89" t="s">
        <v>241</v>
      </c>
    </row>
    <row r="35" spans="2:7" ht="12.75">
      <c r="B35" s="86" t="s">
        <v>235</v>
      </c>
      <c r="C35" s="86"/>
      <c r="D35" s="86" t="s">
        <v>7</v>
      </c>
      <c r="E35" s="87" t="s">
        <v>263</v>
      </c>
      <c r="F35" s="136">
        <v>37631</v>
      </c>
      <c r="G35" s="89" t="s">
        <v>264</v>
      </c>
    </row>
    <row r="36" spans="2:7" ht="12.75">
      <c r="B36" s="86" t="s">
        <v>236</v>
      </c>
      <c r="C36" s="86"/>
      <c r="D36" s="117" t="s">
        <v>7</v>
      </c>
      <c r="E36" s="123">
        <v>0.0013480324074074074</v>
      </c>
      <c r="F36" s="137">
        <v>37931</v>
      </c>
      <c r="G36" s="118" t="s">
        <v>214</v>
      </c>
    </row>
    <row r="37" spans="2:7" ht="12.75">
      <c r="B37" s="86" t="s">
        <v>223</v>
      </c>
      <c r="C37" s="86"/>
      <c r="D37" s="117" t="s">
        <v>7</v>
      </c>
      <c r="E37" s="123">
        <v>0.0013105324074074076</v>
      </c>
      <c r="F37" s="137">
        <v>38647</v>
      </c>
      <c r="G37" s="118" t="s">
        <v>226</v>
      </c>
    </row>
    <row r="38" spans="2:7" ht="12.75">
      <c r="B38" s="86" t="s">
        <v>229</v>
      </c>
      <c r="C38" s="86"/>
      <c r="D38" s="144" t="s">
        <v>12</v>
      </c>
      <c r="E38" s="145">
        <v>0.0013530092592592593</v>
      </c>
      <c r="F38" s="146">
        <v>38789</v>
      </c>
      <c r="G38" s="147" t="s">
        <v>214</v>
      </c>
    </row>
    <row r="39" spans="2:7" ht="12.75">
      <c r="B39" s="86"/>
      <c r="C39" s="86"/>
      <c r="D39" s="86"/>
      <c r="E39" s="87"/>
      <c r="F39" s="138"/>
      <c r="G39" s="89"/>
    </row>
    <row r="40" spans="1:7" ht="12.75">
      <c r="A40" s="90" t="s">
        <v>227</v>
      </c>
      <c r="B40" s="86" t="s">
        <v>212</v>
      </c>
      <c r="C40" s="86"/>
      <c r="D40" s="117" t="s">
        <v>27</v>
      </c>
      <c r="E40" s="148">
        <v>0.0031708333333333332</v>
      </c>
      <c r="F40" s="137">
        <v>38807</v>
      </c>
      <c r="G40" s="118" t="s">
        <v>213</v>
      </c>
    </row>
    <row r="41" spans="2:7" ht="12.75">
      <c r="B41" s="86" t="s">
        <v>235</v>
      </c>
      <c r="C41" s="86"/>
      <c r="D41" s="86" t="s">
        <v>7</v>
      </c>
      <c r="E41" s="87" t="s">
        <v>265</v>
      </c>
      <c r="F41" s="136">
        <v>37694</v>
      </c>
      <c r="G41" s="89" t="s">
        <v>241</v>
      </c>
    </row>
    <row r="42" spans="2:7" ht="12.75">
      <c r="B42" s="86" t="s">
        <v>236</v>
      </c>
      <c r="C42" s="86"/>
      <c r="D42" s="117" t="s">
        <v>7</v>
      </c>
      <c r="E42" s="123">
        <v>0.0028483796296296295</v>
      </c>
      <c r="F42" s="137">
        <v>38293</v>
      </c>
      <c r="G42" s="118" t="s">
        <v>214</v>
      </c>
    </row>
    <row r="43" spans="2:7" ht="12.75">
      <c r="B43" s="86" t="s">
        <v>223</v>
      </c>
      <c r="C43" s="86"/>
      <c r="D43" s="117" t="s">
        <v>7</v>
      </c>
      <c r="E43" s="123">
        <v>0.0028393518518518516</v>
      </c>
      <c r="F43" s="137">
        <v>38655</v>
      </c>
      <c r="G43" s="118" t="s">
        <v>226</v>
      </c>
    </row>
    <row r="44" spans="2:7" ht="12.75">
      <c r="B44" s="86" t="s">
        <v>229</v>
      </c>
      <c r="C44" s="86"/>
      <c r="D44" s="149" t="s">
        <v>12</v>
      </c>
      <c r="E44" s="123">
        <v>0.00286875</v>
      </c>
      <c r="F44" s="137">
        <v>38789</v>
      </c>
      <c r="G44" s="118" t="s">
        <v>214</v>
      </c>
    </row>
    <row r="45" spans="2:7" ht="12.75">
      <c r="B45" s="86"/>
      <c r="C45" s="86"/>
      <c r="D45" s="86"/>
      <c r="E45" s="87"/>
      <c r="F45" s="138"/>
      <c r="G45" s="89"/>
    </row>
    <row r="46" spans="1:7" ht="12.75">
      <c r="A46" s="90" t="s">
        <v>228</v>
      </c>
      <c r="B46" s="86" t="s">
        <v>235</v>
      </c>
      <c r="C46" s="86"/>
      <c r="D46" s="86" t="s">
        <v>7</v>
      </c>
      <c r="E46" s="87" t="s">
        <v>266</v>
      </c>
      <c r="F46" s="136">
        <v>37709</v>
      </c>
      <c r="G46" s="89" t="s">
        <v>258</v>
      </c>
    </row>
    <row r="47" spans="2:7" ht="12.75">
      <c r="B47" s="86" t="s">
        <v>236</v>
      </c>
      <c r="C47" s="86"/>
      <c r="D47" s="117" t="s">
        <v>7</v>
      </c>
      <c r="E47" s="123">
        <v>0.004995949074074074</v>
      </c>
      <c r="F47" s="137">
        <v>38320</v>
      </c>
      <c r="G47" s="118" t="s">
        <v>267</v>
      </c>
    </row>
    <row r="48" spans="2:7" ht="12.75">
      <c r="B48" s="86" t="s">
        <v>223</v>
      </c>
      <c r="C48" s="86"/>
      <c r="D48" s="117" t="s">
        <v>7</v>
      </c>
      <c r="E48" s="142">
        <v>0.004888888888888889</v>
      </c>
      <c r="F48" s="137">
        <v>38641</v>
      </c>
      <c r="G48" s="118" t="s">
        <v>226</v>
      </c>
    </row>
    <row r="49" spans="2:7" ht="12.75">
      <c r="B49" s="86" t="s">
        <v>229</v>
      </c>
      <c r="C49" s="86"/>
      <c r="D49" s="202" t="s">
        <v>12</v>
      </c>
      <c r="E49" s="131">
        <v>0.004920138888888889</v>
      </c>
      <c r="F49" s="203">
        <v>38790</v>
      </c>
      <c r="G49" s="132" t="s">
        <v>214</v>
      </c>
    </row>
    <row r="50" spans="2:8" ht="12.75">
      <c r="B50" s="86"/>
      <c r="C50" s="86"/>
      <c r="D50" s="106" t="s">
        <v>12</v>
      </c>
      <c r="E50" s="111">
        <v>0.004904166666666667</v>
      </c>
      <c r="F50" s="201">
        <v>38695</v>
      </c>
      <c r="G50" s="113" t="s">
        <v>230</v>
      </c>
      <c r="H50" s="85" t="s">
        <v>231</v>
      </c>
    </row>
    <row r="51" spans="2:7" ht="12.75">
      <c r="B51" s="86"/>
      <c r="C51" s="86"/>
      <c r="D51" s="86"/>
      <c r="E51" s="87"/>
      <c r="F51" s="138"/>
      <c r="G51" s="89"/>
    </row>
    <row r="52" spans="1:7" ht="12.75">
      <c r="A52" s="90" t="s">
        <v>232</v>
      </c>
      <c r="B52" s="86" t="s">
        <v>236</v>
      </c>
      <c r="C52" s="86"/>
      <c r="D52" s="117" t="s">
        <v>7</v>
      </c>
      <c r="E52" s="142">
        <v>0.010846180555555555</v>
      </c>
      <c r="F52" s="137">
        <v>38432</v>
      </c>
      <c r="G52" s="119" t="s">
        <v>213</v>
      </c>
    </row>
    <row r="53" spans="2:7" ht="12.75">
      <c r="B53" s="86" t="s">
        <v>223</v>
      </c>
      <c r="C53" s="86"/>
      <c r="D53" s="86" t="s">
        <v>22</v>
      </c>
      <c r="E53" s="87" t="s">
        <v>268</v>
      </c>
      <c r="F53" s="136">
        <v>35877</v>
      </c>
      <c r="G53" s="89"/>
    </row>
    <row r="54" spans="2:7" ht="12.75">
      <c r="B54" s="86" t="s">
        <v>229</v>
      </c>
      <c r="C54" s="86"/>
      <c r="D54" s="144" t="s">
        <v>12</v>
      </c>
      <c r="E54" s="150">
        <v>0.010720833333333334</v>
      </c>
      <c r="F54" s="146">
        <v>38780</v>
      </c>
      <c r="G54" s="143" t="s">
        <v>233</v>
      </c>
    </row>
    <row r="55" spans="2:7" ht="12.75">
      <c r="B55" s="95"/>
      <c r="C55" s="95"/>
      <c r="D55" s="95"/>
      <c r="E55" s="96"/>
      <c r="F55" s="116"/>
      <c r="G55" s="97"/>
    </row>
  </sheetData>
  <printOptions/>
  <pageMargins left="0.75" right="0.75" top="1" bottom="1" header="0.5" footer="0.5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160"/>
  <sheetViews>
    <sheetView tabSelected="1" workbookViewId="0" topLeftCell="A1">
      <pane xSplit="7" ySplit="2" topLeftCell="H3" activePane="bottomRight" state="frozen"/>
      <selection pane="topLeft" activeCell="A1" sqref="A1"/>
      <selection pane="topRight" activeCell="J1" sqref="J1"/>
      <selection pane="bottomLeft" activeCell="A3" sqref="A3"/>
      <selection pane="bottomRight" activeCell="L7" sqref="L7"/>
    </sheetView>
  </sheetViews>
  <sheetFormatPr defaultColWidth="9.140625" defaultRowHeight="12.75"/>
  <cols>
    <col min="1" max="1" width="3.57421875" style="1" customWidth="1"/>
    <col min="2" max="2" width="7.57421875" style="1" customWidth="1"/>
    <col min="3" max="3" width="18.7109375" style="33" customWidth="1"/>
    <col min="4" max="4" width="4.140625" style="1" customWidth="1"/>
    <col min="5" max="5" width="4.57421875" style="1" customWidth="1"/>
    <col min="6" max="6" width="6.421875" style="1" customWidth="1"/>
    <col min="7" max="7" width="4.140625" style="1" customWidth="1"/>
    <col min="8" max="8" width="9.57421875" style="1" customWidth="1"/>
    <col min="9" max="10" width="9.8515625" style="1" customWidth="1"/>
    <col min="11" max="11" width="14.57421875" style="1" customWidth="1"/>
    <col min="13" max="13" width="9.421875" style="0" customWidth="1"/>
    <col min="14" max="14" width="9.57421875" style="0" customWidth="1"/>
    <col min="20" max="16384" width="9.140625" style="11" customWidth="1"/>
  </cols>
  <sheetData>
    <row r="1" spans="2:32" ht="12.75" customHeight="1">
      <c r="B1" s="2"/>
      <c r="C1" s="3" t="s">
        <v>0</v>
      </c>
      <c r="D1" s="4" t="s">
        <v>1</v>
      </c>
      <c r="E1" s="2"/>
      <c r="F1" s="4" t="s">
        <v>2</v>
      </c>
      <c r="G1" s="4" t="s">
        <v>3</v>
      </c>
      <c r="H1" s="4"/>
      <c r="I1" s="4"/>
      <c r="J1" s="4"/>
      <c r="K1" s="4" t="s">
        <v>4</v>
      </c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</row>
    <row r="2" spans="2:32" ht="12.75">
      <c r="B2" s="2"/>
      <c r="C2" s="3"/>
      <c r="D2" s="4"/>
      <c r="E2" s="2"/>
      <c r="F2" s="12"/>
      <c r="G2" s="12"/>
      <c r="H2" s="12">
        <v>500</v>
      </c>
      <c r="I2" s="12">
        <v>1000</v>
      </c>
      <c r="J2" s="12">
        <v>1500</v>
      </c>
      <c r="K2" s="12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</row>
    <row r="3" spans="1:32" s="14" customFormat="1" ht="11.25">
      <c r="A3" s="14">
        <v>1</v>
      </c>
      <c r="B3" s="15">
        <v>35290</v>
      </c>
      <c r="C3" s="16" t="s">
        <v>7</v>
      </c>
      <c r="D3" s="15">
        <v>1</v>
      </c>
      <c r="E3" s="15" t="s">
        <v>8</v>
      </c>
      <c r="F3" s="15" t="s">
        <v>9</v>
      </c>
      <c r="G3" s="15">
        <v>1</v>
      </c>
      <c r="H3" s="24">
        <v>0.0004212962962962963</v>
      </c>
      <c r="I3" s="27">
        <v>0.0008484953703703704</v>
      </c>
      <c r="J3" s="27">
        <v>0.0013105324074074076</v>
      </c>
      <c r="K3" s="22">
        <v>110.798</v>
      </c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</row>
    <row r="4" spans="1:32" s="14" customFormat="1" ht="11.25">
      <c r="A4" s="14">
        <v>2</v>
      </c>
      <c r="B4" s="15">
        <v>35122</v>
      </c>
      <c r="C4" s="16" t="s">
        <v>10</v>
      </c>
      <c r="D4" s="15">
        <v>1</v>
      </c>
      <c r="E4" s="15" t="s">
        <v>8</v>
      </c>
      <c r="F4" s="15" t="s">
        <v>11</v>
      </c>
      <c r="G4" s="15">
        <v>1</v>
      </c>
      <c r="H4" s="24">
        <v>0.00043877314814814804</v>
      </c>
      <c r="I4" s="27">
        <v>0.0008962962962962962</v>
      </c>
      <c r="J4" s="27">
        <v>0.0013908564814814814</v>
      </c>
      <c r="K4" s="22">
        <v>116.687</v>
      </c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</row>
    <row r="5" spans="1:11" ht="12.75">
      <c r="A5" s="1">
        <v>3</v>
      </c>
      <c r="B5" s="1">
        <v>35630</v>
      </c>
      <c r="C5" s="33" t="s">
        <v>12</v>
      </c>
      <c r="E5" s="1" t="s">
        <v>8</v>
      </c>
      <c r="F5" s="1" t="s">
        <v>13</v>
      </c>
      <c r="G5" s="1">
        <v>2</v>
      </c>
      <c r="H5" s="18">
        <v>0.00045810185185185184</v>
      </c>
      <c r="I5" s="37">
        <v>0.0008868055555555556</v>
      </c>
      <c r="J5" s="37">
        <v>0.0013530092592592593</v>
      </c>
      <c r="K5" s="70">
        <v>116.857</v>
      </c>
    </row>
    <row r="6" spans="1:32" s="14" customFormat="1" ht="11.25">
      <c r="A6" s="14">
        <v>4</v>
      </c>
      <c r="B6" s="15">
        <v>35170</v>
      </c>
      <c r="C6" s="16" t="s">
        <v>14</v>
      </c>
      <c r="D6" s="15"/>
      <c r="E6" s="15" t="s">
        <v>8</v>
      </c>
      <c r="F6" s="15" t="s">
        <v>11</v>
      </c>
      <c r="G6" s="1" t="s">
        <v>15</v>
      </c>
      <c r="H6" s="18">
        <v>0.0004614583333333333</v>
      </c>
      <c r="I6" s="37">
        <v>0.0009000000000000001</v>
      </c>
      <c r="J6" s="37">
        <v>0.0013721064814814813</v>
      </c>
      <c r="K6" s="70">
        <v>118.267</v>
      </c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</row>
    <row r="7" spans="1:11" ht="12.75">
      <c r="A7" s="14">
        <v>5</v>
      </c>
      <c r="B7" s="67">
        <v>35210</v>
      </c>
      <c r="C7" s="68" t="s">
        <v>175</v>
      </c>
      <c r="E7" s="69" t="s">
        <v>8</v>
      </c>
      <c r="F7" s="69" t="s">
        <v>13</v>
      </c>
      <c r="G7" s="1" t="s">
        <v>15</v>
      </c>
      <c r="H7" s="18">
        <v>0.0004571759259259259</v>
      </c>
      <c r="I7" s="37">
        <v>0.0009217592592592592</v>
      </c>
      <c r="J7" s="37">
        <v>0.0013863425925925927</v>
      </c>
      <c r="K7" s="70">
        <v>119.24699999999999</v>
      </c>
    </row>
    <row r="8" spans="1:32" s="14" customFormat="1" ht="11.25">
      <c r="A8" s="1">
        <v>6</v>
      </c>
      <c r="B8" s="15">
        <v>35266</v>
      </c>
      <c r="C8" s="16" t="s">
        <v>16</v>
      </c>
      <c r="D8" s="15">
        <v>3</v>
      </c>
      <c r="E8" s="15" t="s">
        <v>8</v>
      </c>
      <c r="F8" s="15" t="s">
        <v>9</v>
      </c>
      <c r="G8" s="1" t="s">
        <v>15</v>
      </c>
      <c r="H8" s="18">
        <v>0.0004515046296296296</v>
      </c>
      <c r="I8" s="37">
        <v>0.0009195601851851852</v>
      </c>
      <c r="J8" s="37">
        <v>0.0014269675925925925</v>
      </c>
      <c r="K8" s="70">
        <v>119.832</v>
      </c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</row>
    <row r="9" spans="1:32" s="14" customFormat="1" ht="11.25">
      <c r="A9" s="14">
        <v>7</v>
      </c>
      <c r="B9" s="15">
        <v>35330</v>
      </c>
      <c r="C9" s="16" t="s">
        <v>17</v>
      </c>
      <c r="D9" s="15">
        <v>1</v>
      </c>
      <c r="E9" s="15" t="s">
        <v>8</v>
      </c>
      <c r="F9" s="15" t="s">
        <v>18</v>
      </c>
      <c r="G9" s="15">
        <v>1</v>
      </c>
      <c r="H9" s="24">
        <v>0.0004605324074074074</v>
      </c>
      <c r="I9" s="27">
        <v>0.0009069444444444445</v>
      </c>
      <c r="J9" s="27">
        <v>0.0014212962962962964</v>
      </c>
      <c r="K9" s="22">
        <v>119.90299999999999</v>
      </c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</row>
    <row r="10" spans="1:32" s="14" customFormat="1" ht="11.25">
      <c r="A10" s="14">
        <v>8</v>
      </c>
      <c r="B10" s="15">
        <v>35408</v>
      </c>
      <c r="C10" s="16" t="s">
        <v>19</v>
      </c>
      <c r="D10" s="15">
        <v>2</v>
      </c>
      <c r="E10" s="15" t="s">
        <v>8</v>
      </c>
      <c r="F10" s="15" t="s">
        <v>18</v>
      </c>
      <c r="G10" s="15">
        <v>1</v>
      </c>
      <c r="H10" s="24">
        <v>0.0004608796296296296</v>
      </c>
      <c r="I10" s="27">
        <v>0.0009174768518518517</v>
      </c>
      <c r="J10" s="27">
        <v>0.0014243055555555556</v>
      </c>
      <c r="K10" s="22">
        <v>120.475</v>
      </c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</row>
    <row r="11" spans="1:32" s="14" customFormat="1" ht="11.25">
      <c r="A11" s="1">
        <v>9</v>
      </c>
      <c r="B11" s="15">
        <v>35291</v>
      </c>
      <c r="C11" s="16" t="s">
        <v>20</v>
      </c>
      <c r="D11" s="15">
        <v>2</v>
      </c>
      <c r="E11" s="15" t="s">
        <v>8</v>
      </c>
      <c r="F11" s="15" t="s">
        <v>18</v>
      </c>
      <c r="G11" s="15">
        <v>1</v>
      </c>
      <c r="H11" s="24">
        <v>0.0004606481481481482</v>
      </c>
      <c r="I11" s="27">
        <v>0.0009268518518518519</v>
      </c>
      <c r="J11" s="27">
        <v>0.0014212962962962964</v>
      </c>
      <c r="K11" s="22">
        <v>120.773</v>
      </c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</row>
    <row r="12" spans="1:32" s="14" customFormat="1" ht="11.25">
      <c r="A12" s="14">
        <v>10</v>
      </c>
      <c r="B12" s="15">
        <v>35220</v>
      </c>
      <c r="C12" s="16" t="s">
        <v>21</v>
      </c>
      <c r="D12" s="15">
        <v>3</v>
      </c>
      <c r="E12" s="15" t="s">
        <v>8</v>
      </c>
      <c r="F12" s="15" t="s">
        <v>9</v>
      </c>
      <c r="G12" s="15">
        <v>1</v>
      </c>
      <c r="H12" s="24">
        <v>0.000478587962962963</v>
      </c>
      <c r="I12" s="27">
        <v>0.0009439814814814814</v>
      </c>
      <c r="J12" s="27">
        <v>0.0014355324074074073</v>
      </c>
      <c r="K12" s="22">
        <v>123.473</v>
      </c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</row>
    <row r="13" spans="1:11" s="14" customFormat="1" ht="11.25">
      <c r="A13" s="14">
        <v>11</v>
      </c>
      <c r="B13" s="14">
        <v>35035</v>
      </c>
      <c r="C13" s="16" t="s">
        <v>22</v>
      </c>
      <c r="E13" s="14" t="s">
        <v>8</v>
      </c>
      <c r="F13" s="14" t="s">
        <v>13</v>
      </c>
      <c r="G13" s="14">
        <v>2</v>
      </c>
      <c r="H13" s="42">
        <v>0.00048356481481481487</v>
      </c>
      <c r="I13" s="44">
        <v>0.0009369212962962963</v>
      </c>
      <c r="J13" s="44">
        <v>0.0014400462962962963</v>
      </c>
      <c r="K13" s="77">
        <v>123.728</v>
      </c>
    </row>
    <row r="14" spans="1:11" s="14" customFormat="1" ht="11.25">
      <c r="A14" s="1">
        <v>12</v>
      </c>
      <c r="B14" s="14">
        <v>35037</v>
      </c>
      <c r="C14" s="16" t="s">
        <v>23</v>
      </c>
      <c r="E14" s="14" t="s">
        <v>8</v>
      </c>
      <c r="F14" s="14" t="s">
        <v>13</v>
      </c>
      <c r="G14" s="14">
        <v>2</v>
      </c>
      <c r="H14" s="42">
        <v>0.00047557870370370375</v>
      </c>
      <c r="I14" s="44">
        <v>0.0009530092592592593</v>
      </c>
      <c r="J14" s="44">
        <v>0.0014768518518518516</v>
      </c>
      <c r="K14" s="77">
        <v>124.793</v>
      </c>
    </row>
    <row r="15" spans="1:32" s="14" customFormat="1" ht="11.25">
      <c r="A15" s="14">
        <v>13</v>
      </c>
      <c r="B15" s="15">
        <v>35349</v>
      </c>
      <c r="C15" s="16" t="s">
        <v>24</v>
      </c>
      <c r="D15" s="15"/>
      <c r="E15" s="15" t="s">
        <v>8</v>
      </c>
      <c r="F15" s="15" t="s">
        <v>25</v>
      </c>
      <c r="G15" s="15">
        <v>2</v>
      </c>
      <c r="H15" s="24">
        <v>0.0004711805555555556</v>
      </c>
      <c r="I15" s="27">
        <v>0.0009530092592592593</v>
      </c>
      <c r="J15" s="27">
        <v>0.0015104166666666666</v>
      </c>
      <c r="K15" s="22">
        <v>125.38</v>
      </c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</row>
    <row r="16" spans="1:32" s="14" customFormat="1" ht="11.25">
      <c r="A16" s="14">
        <v>14</v>
      </c>
      <c r="B16" s="15">
        <v>35372</v>
      </c>
      <c r="C16" s="16" t="s">
        <v>26</v>
      </c>
      <c r="D16" s="15">
        <v>1</v>
      </c>
      <c r="E16" s="15" t="s">
        <v>8</v>
      </c>
      <c r="F16" s="15" t="s">
        <v>9</v>
      </c>
      <c r="G16" s="15">
        <v>1</v>
      </c>
      <c r="H16" s="24">
        <v>0.0004715277777777778</v>
      </c>
      <c r="I16" s="27">
        <v>0.0009646990740740741</v>
      </c>
      <c r="J16" s="27">
        <v>0.0014943287037037037</v>
      </c>
      <c r="K16" s="22">
        <v>125.452</v>
      </c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</row>
    <row r="17" spans="1:32" s="14" customFormat="1" ht="11.25">
      <c r="A17" s="1">
        <v>15</v>
      </c>
      <c r="B17" s="15">
        <v>35428</v>
      </c>
      <c r="C17" s="16" t="s">
        <v>27</v>
      </c>
      <c r="D17" s="15">
        <v>2</v>
      </c>
      <c r="E17" s="15" t="s">
        <v>8</v>
      </c>
      <c r="F17" s="1" t="s">
        <v>53</v>
      </c>
      <c r="G17" s="15">
        <v>1</v>
      </c>
      <c r="H17" s="24">
        <v>0.00048287037037037043</v>
      </c>
      <c r="I17" s="27">
        <v>0.0009523148148148148</v>
      </c>
      <c r="J17" s="27">
        <v>0.001488078703703704</v>
      </c>
      <c r="K17" s="22">
        <v>125.717</v>
      </c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</row>
    <row r="18" spans="1:11" ht="12.75">
      <c r="A18" s="14">
        <v>16</v>
      </c>
      <c r="B18" s="1">
        <v>35574</v>
      </c>
      <c r="C18" s="33" t="s">
        <v>29</v>
      </c>
      <c r="D18" s="1">
        <v>1</v>
      </c>
      <c r="E18" s="1" t="s">
        <v>8</v>
      </c>
      <c r="F18" s="1" t="s">
        <v>28</v>
      </c>
      <c r="G18" s="1">
        <v>1</v>
      </c>
      <c r="H18" s="18">
        <v>0.00047314814814814816</v>
      </c>
      <c r="I18" s="37">
        <v>0.0009814814814814814</v>
      </c>
      <c r="J18" s="37">
        <v>0.0014957175925925928</v>
      </c>
      <c r="K18" s="70">
        <v>126.357</v>
      </c>
    </row>
    <row r="19" spans="1:32" s="14" customFormat="1" ht="11.25">
      <c r="A19" s="14">
        <v>17</v>
      </c>
      <c r="B19" s="15">
        <v>35283</v>
      </c>
      <c r="C19" s="16" t="s">
        <v>30</v>
      </c>
      <c r="D19" s="15">
        <v>2</v>
      </c>
      <c r="E19" s="15" t="s">
        <v>8</v>
      </c>
      <c r="F19" s="15" t="s">
        <v>18</v>
      </c>
      <c r="G19" s="15">
        <v>1</v>
      </c>
      <c r="H19" s="24">
        <v>0.00047685185185185195</v>
      </c>
      <c r="I19" s="27">
        <v>0.0009751157407407408</v>
      </c>
      <c r="J19" s="27">
        <v>0.0015230324074074072</v>
      </c>
      <c r="K19" s="22">
        <v>127.188</v>
      </c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</row>
    <row r="20" spans="1:11" s="14" customFormat="1" ht="11.25">
      <c r="A20" s="1">
        <v>18</v>
      </c>
      <c r="B20" s="15">
        <v>35526</v>
      </c>
      <c r="C20" s="16" t="s">
        <v>31</v>
      </c>
      <c r="D20" s="14">
        <v>2</v>
      </c>
      <c r="E20" s="15" t="s">
        <v>8</v>
      </c>
      <c r="F20" s="1" t="s">
        <v>53</v>
      </c>
      <c r="G20" s="15">
        <v>1</v>
      </c>
      <c r="H20" s="24">
        <v>0.00048692129629629633</v>
      </c>
      <c r="I20" s="27">
        <v>0.0009755787037037038</v>
      </c>
      <c r="J20" s="27">
        <v>0.0015246527777777778</v>
      </c>
      <c r="K20" s="22">
        <v>128.125</v>
      </c>
    </row>
    <row r="21" spans="1:32" s="14" customFormat="1" ht="11.25">
      <c r="A21" s="14">
        <v>19</v>
      </c>
      <c r="B21" s="15">
        <v>35310</v>
      </c>
      <c r="C21" s="16" t="s">
        <v>32</v>
      </c>
      <c r="D21" s="15">
        <v>2</v>
      </c>
      <c r="E21" s="15" t="s">
        <v>8</v>
      </c>
      <c r="F21" s="15" t="s">
        <v>18</v>
      </c>
      <c r="G21" s="1" t="s">
        <v>15</v>
      </c>
      <c r="H21" s="18">
        <v>0.00048124999999999996</v>
      </c>
      <c r="I21" s="37">
        <v>0.000986111111111111</v>
      </c>
      <c r="J21" s="37">
        <v>0.0015409722222222222</v>
      </c>
      <c r="K21" s="70">
        <v>128.56</v>
      </c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</row>
    <row r="22" spans="1:11" s="14" customFormat="1" ht="11.25">
      <c r="A22" s="14">
        <v>20</v>
      </c>
      <c r="B22" s="15">
        <v>35546</v>
      </c>
      <c r="C22" s="16" t="s">
        <v>33</v>
      </c>
      <c r="D22" s="14">
        <v>2</v>
      </c>
      <c r="E22" s="15" t="s">
        <v>8</v>
      </c>
      <c r="F22" s="1" t="s">
        <v>53</v>
      </c>
      <c r="G22" s="15">
        <v>1</v>
      </c>
      <c r="H22" s="24">
        <v>0.0004987268518518519</v>
      </c>
      <c r="I22" s="27">
        <v>0.0009928240740740741</v>
      </c>
      <c r="J22" s="27">
        <v>0.001498263888888889</v>
      </c>
      <c r="K22" s="22">
        <v>129.13</v>
      </c>
    </row>
    <row r="23" spans="1:11" ht="12.75">
      <c r="A23" s="1">
        <v>21</v>
      </c>
      <c r="B23" s="1">
        <v>35245</v>
      </c>
      <c r="C23" s="33" t="s">
        <v>34</v>
      </c>
      <c r="D23" s="1">
        <v>3</v>
      </c>
      <c r="E23" s="1" t="s">
        <v>8</v>
      </c>
      <c r="F23" s="1" t="s">
        <v>9</v>
      </c>
      <c r="G23" s="1" t="s">
        <v>15</v>
      </c>
      <c r="H23" s="18">
        <v>0.00048622685185185184</v>
      </c>
      <c r="I23" s="37">
        <v>0.000990162037037037</v>
      </c>
      <c r="J23" s="37">
        <v>0.0015462962962962963</v>
      </c>
      <c r="K23" s="70">
        <v>129.31799999999998</v>
      </c>
    </row>
    <row r="24" spans="1:32" s="14" customFormat="1" ht="11.25">
      <c r="A24" s="14">
        <v>22</v>
      </c>
      <c r="B24" s="15">
        <v>35536</v>
      </c>
      <c r="C24" s="16" t="s">
        <v>35</v>
      </c>
      <c r="D24" s="15">
        <v>1</v>
      </c>
      <c r="E24" s="15" t="s">
        <v>8</v>
      </c>
      <c r="F24" s="15" t="s">
        <v>11</v>
      </c>
      <c r="G24" s="15">
        <v>3</v>
      </c>
      <c r="H24" s="24">
        <v>0.0004959490740740741</v>
      </c>
      <c r="I24" s="27">
        <v>0.0009761574074074074</v>
      </c>
      <c r="J24" s="27">
        <v>0.0015402777777777778</v>
      </c>
      <c r="K24" s="22">
        <v>129.38</v>
      </c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</row>
    <row r="25" spans="1:32" s="14" customFormat="1" ht="11.25">
      <c r="A25" s="14">
        <v>23</v>
      </c>
      <c r="B25" s="15">
        <v>35413</v>
      </c>
      <c r="C25" s="16" t="s">
        <v>37</v>
      </c>
      <c r="D25" s="15">
        <v>2</v>
      </c>
      <c r="E25" s="15" t="s">
        <v>8</v>
      </c>
      <c r="F25" s="15" t="s">
        <v>18</v>
      </c>
      <c r="G25" s="15">
        <v>2</v>
      </c>
      <c r="H25" s="24">
        <v>0.0004880787037037037</v>
      </c>
      <c r="I25" s="27">
        <v>0.0010011574074074074</v>
      </c>
      <c r="J25" s="27">
        <v>0.0015570601851851854</v>
      </c>
      <c r="K25" s="22">
        <v>130.263</v>
      </c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</row>
    <row r="26" spans="1:32" s="14" customFormat="1" ht="11.25">
      <c r="A26" s="1">
        <v>24</v>
      </c>
      <c r="B26" s="15">
        <v>35020</v>
      </c>
      <c r="C26" s="16" t="s">
        <v>38</v>
      </c>
      <c r="D26" s="15"/>
      <c r="E26" s="15" t="s">
        <v>8</v>
      </c>
      <c r="F26" s="15" t="s">
        <v>25</v>
      </c>
      <c r="G26" s="15">
        <v>4</v>
      </c>
      <c r="H26" s="24">
        <v>0.0005003472222222222</v>
      </c>
      <c r="I26" s="27">
        <v>0.0010396990740740742</v>
      </c>
      <c r="J26" s="27">
        <v>0.0015462962962962963</v>
      </c>
      <c r="K26" s="22">
        <v>132.678</v>
      </c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</row>
    <row r="27" spans="1:11" ht="12.75">
      <c r="A27" s="14">
        <v>25</v>
      </c>
      <c r="B27" s="1">
        <v>35019</v>
      </c>
      <c r="C27" s="71" t="s">
        <v>176</v>
      </c>
      <c r="E27" s="69" t="s">
        <v>8</v>
      </c>
      <c r="F27" s="69" t="s">
        <v>25</v>
      </c>
      <c r="G27" s="1" t="s">
        <v>15</v>
      </c>
      <c r="H27" s="18">
        <v>0.0005059027777777778</v>
      </c>
      <c r="I27" s="37">
        <v>0.001025</v>
      </c>
      <c r="J27" s="37">
        <v>0.0015686342592592594</v>
      </c>
      <c r="K27" s="70">
        <v>133.167</v>
      </c>
    </row>
    <row r="28" spans="1:11" ht="12.75">
      <c r="A28" s="14">
        <v>26</v>
      </c>
      <c r="B28" s="1">
        <v>35564</v>
      </c>
      <c r="C28" s="33" t="s">
        <v>39</v>
      </c>
      <c r="D28" s="1">
        <v>2</v>
      </c>
      <c r="E28" s="1" t="s">
        <v>8</v>
      </c>
      <c r="F28" s="1" t="s">
        <v>53</v>
      </c>
      <c r="G28" s="1">
        <v>1</v>
      </c>
      <c r="H28" s="18">
        <v>0.0005040509259259259</v>
      </c>
      <c r="I28" s="37">
        <v>0.001011111111111111</v>
      </c>
      <c r="J28" s="37">
        <v>0.001596412037037037</v>
      </c>
      <c r="K28" s="70">
        <v>133.207</v>
      </c>
    </row>
    <row r="29" spans="1:32" s="14" customFormat="1" ht="11.25">
      <c r="A29" s="1">
        <v>27</v>
      </c>
      <c r="B29" s="15">
        <v>35363</v>
      </c>
      <c r="C29" s="16" t="s">
        <v>40</v>
      </c>
      <c r="D29" s="15">
        <v>2</v>
      </c>
      <c r="E29" s="15" t="s">
        <v>41</v>
      </c>
      <c r="F29" s="15" t="s">
        <v>18</v>
      </c>
      <c r="G29" s="1" t="s">
        <v>15</v>
      </c>
      <c r="H29" s="18">
        <v>0.0005002314814814814</v>
      </c>
      <c r="I29" s="37">
        <v>0.0010230324074074074</v>
      </c>
      <c r="J29" s="37">
        <v>0.0016079861111111112</v>
      </c>
      <c r="K29" s="70">
        <v>133.725</v>
      </c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</row>
    <row r="30" spans="1:32" s="14" customFormat="1" ht="11.25">
      <c r="A30" s="14">
        <v>28</v>
      </c>
      <c r="B30" s="15">
        <v>35311</v>
      </c>
      <c r="C30" s="16" t="s">
        <v>42</v>
      </c>
      <c r="D30" s="15">
        <v>2</v>
      </c>
      <c r="E30" s="15" t="s">
        <v>8</v>
      </c>
      <c r="F30" s="15" t="s">
        <v>9</v>
      </c>
      <c r="G30" s="15">
        <v>3</v>
      </c>
      <c r="H30" s="24">
        <v>0.000496875</v>
      </c>
      <c r="I30" s="27">
        <v>0.0010136574074074073</v>
      </c>
      <c r="J30" s="27">
        <v>0.001639699074074074</v>
      </c>
      <c r="K30" s="22">
        <v>133.94299999999998</v>
      </c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</row>
    <row r="31" spans="1:32" s="14" customFormat="1" ht="11.25">
      <c r="A31" s="14">
        <v>29</v>
      </c>
      <c r="B31" s="15">
        <v>35488</v>
      </c>
      <c r="C31" s="16" t="s">
        <v>44</v>
      </c>
      <c r="D31" s="15">
        <v>2</v>
      </c>
      <c r="E31" s="15" t="s">
        <v>8</v>
      </c>
      <c r="F31" s="15" t="s">
        <v>28</v>
      </c>
      <c r="G31" s="1" t="s">
        <v>15</v>
      </c>
      <c r="H31" s="18">
        <v>0.0005033564814814815</v>
      </c>
      <c r="I31" s="37">
        <v>0.0010149305555555556</v>
      </c>
      <c r="J31" s="37">
        <v>0.001648148148148148</v>
      </c>
      <c r="K31" s="70">
        <v>134.80200000000002</v>
      </c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</row>
    <row r="32" spans="1:32" s="14" customFormat="1" ht="11.25">
      <c r="A32" s="1">
        <v>30</v>
      </c>
      <c r="B32" s="15">
        <v>35422</v>
      </c>
      <c r="C32" s="16" t="s">
        <v>45</v>
      </c>
      <c r="D32" s="15">
        <v>1</v>
      </c>
      <c r="E32" s="15" t="s">
        <v>41</v>
      </c>
      <c r="F32" s="15" t="s">
        <v>28</v>
      </c>
      <c r="G32" s="15">
        <v>1</v>
      </c>
      <c r="H32" s="24">
        <v>0.0005092592592592592</v>
      </c>
      <c r="I32" s="27">
        <v>0.0010467592592592592</v>
      </c>
      <c r="J32" s="27">
        <v>0.0016255787037037037</v>
      </c>
      <c r="K32" s="22">
        <v>136.037</v>
      </c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</row>
    <row r="33" spans="1:11" s="14" customFormat="1" ht="11.25">
      <c r="A33" s="14">
        <v>31</v>
      </c>
      <c r="B33" s="14">
        <v>35092</v>
      </c>
      <c r="C33" s="16" t="s">
        <v>46</v>
      </c>
      <c r="E33" s="14" t="s">
        <v>8</v>
      </c>
      <c r="F33" s="14" t="s">
        <v>25</v>
      </c>
      <c r="G33" s="14">
        <v>4</v>
      </c>
      <c r="H33" s="42">
        <v>0.0005258101851851851</v>
      </c>
      <c r="I33" s="44">
        <v>0.0010408564814814814</v>
      </c>
      <c r="J33" s="44">
        <v>0.0015993055555555554</v>
      </c>
      <c r="K33" s="77">
        <v>136.455</v>
      </c>
    </row>
    <row r="34" spans="1:11" ht="12.75">
      <c r="A34" s="14">
        <v>32</v>
      </c>
      <c r="B34" s="1">
        <v>35134</v>
      </c>
      <c r="C34" s="33" t="s">
        <v>48</v>
      </c>
      <c r="E34" s="1" t="s">
        <v>8</v>
      </c>
      <c r="F34" s="1" t="s">
        <v>13</v>
      </c>
      <c r="G34" s="1">
        <v>3</v>
      </c>
      <c r="H34" s="18">
        <v>0.0005131944444444445</v>
      </c>
      <c r="I34" s="37">
        <v>0.0010363425925925926</v>
      </c>
      <c r="J34" s="37">
        <v>0.0016476851851851852</v>
      </c>
      <c r="K34" s="70">
        <v>136.56300000000002</v>
      </c>
    </row>
    <row r="35" spans="1:11" ht="12.75">
      <c r="A35" s="1">
        <v>33</v>
      </c>
      <c r="B35" s="1">
        <v>35579</v>
      </c>
      <c r="C35" s="33" t="s">
        <v>50</v>
      </c>
      <c r="D35" s="1">
        <v>2</v>
      </c>
      <c r="E35" s="1" t="s">
        <v>8</v>
      </c>
      <c r="F35" s="1" t="s">
        <v>53</v>
      </c>
      <c r="G35" s="1">
        <v>1</v>
      </c>
      <c r="H35" s="18">
        <v>0.000514699074074074</v>
      </c>
      <c r="I35" s="37">
        <v>0.001049537037037037</v>
      </c>
      <c r="J35" s="37">
        <v>0.001624537037037037</v>
      </c>
      <c r="K35" s="70">
        <v>136.597</v>
      </c>
    </row>
    <row r="36" spans="1:32" s="14" customFormat="1" ht="11.25">
      <c r="A36" s="14">
        <v>34</v>
      </c>
      <c r="B36" s="15">
        <v>35403</v>
      </c>
      <c r="C36" s="16" t="s">
        <v>51</v>
      </c>
      <c r="D36" s="15"/>
      <c r="E36" s="15" t="s">
        <v>8</v>
      </c>
      <c r="F36" s="15" t="s">
        <v>25</v>
      </c>
      <c r="G36" s="1" t="s">
        <v>15</v>
      </c>
      <c r="H36" s="18">
        <v>0.0005172453703703704</v>
      </c>
      <c r="I36" s="37">
        <v>0.0010405092592592593</v>
      </c>
      <c r="J36" s="37">
        <v>0.0016354166666666667</v>
      </c>
      <c r="K36" s="70">
        <v>136.74</v>
      </c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</row>
    <row r="37" spans="1:11" s="14" customFormat="1" ht="11.25">
      <c r="A37" s="14">
        <v>35</v>
      </c>
      <c r="B37" s="14">
        <v>35545</v>
      </c>
      <c r="C37" s="16" t="s">
        <v>52</v>
      </c>
      <c r="D37" s="14">
        <v>1</v>
      </c>
      <c r="E37" s="14" t="s">
        <v>41</v>
      </c>
      <c r="F37" s="14" t="s">
        <v>53</v>
      </c>
      <c r="G37" s="14">
        <v>1</v>
      </c>
      <c r="H37" s="42">
        <v>0.0005207175925925926</v>
      </c>
      <c r="I37" s="44">
        <v>0.0010636574074074075</v>
      </c>
      <c r="J37" s="44">
        <v>0.0016031250000000002</v>
      </c>
      <c r="K37" s="77">
        <v>137.11</v>
      </c>
    </row>
    <row r="38" spans="1:11" ht="12.75">
      <c r="A38" s="1">
        <v>36</v>
      </c>
      <c r="B38" s="1">
        <v>35390</v>
      </c>
      <c r="C38" s="33" t="s">
        <v>177</v>
      </c>
      <c r="E38" s="1" t="s">
        <v>8</v>
      </c>
      <c r="F38" s="1" t="s">
        <v>13</v>
      </c>
      <c r="G38" s="1" t="s">
        <v>15</v>
      </c>
      <c r="H38" s="18">
        <v>0.0005204861111111111</v>
      </c>
      <c r="I38" s="37">
        <v>0.0010541666666666666</v>
      </c>
      <c r="J38" s="37">
        <v>0.0016271990740740743</v>
      </c>
      <c r="K38" s="70">
        <v>137.373</v>
      </c>
    </row>
    <row r="39" spans="1:11" ht="12.75">
      <c r="A39" s="14">
        <v>37</v>
      </c>
      <c r="B39" s="1">
        <v>35548</v>
      </c>
      <c r="C39" s="33" t="s">
        <v>54</v>
      </c>
      <c r="D39" s="1">
        <v>1</v>
      </c>
      <c r="E39" s="1" t="s">
        <v>8</v>
      </c>
      <c r="F39" s="1" t="s">
        <v>53</v>
      </c>
      <c r="G39" s="1">
        <v>1</v>
      </c>
      <c r="H39" s="18">
        <v>0.0005175925925925926</v>
      </c>
      <c r="I39" s="37">
        <v>0.001067824074074074</v>
      </c>
      <c r="J39" s="37">
        <v>0.0016468750000000001</v>
      </c>
      <c r="K39" s="70">
        <v>138.28</v>
      </c>
    </row>
    <row r="40" spans="1:32" s="14" customFormat="1" ht="11.25">
      <c r="A40" s="14">
        <v>38</v>
      </c>
      <c r="B40" s="15">
        <v>35530</v>
      </c>
      <c r="C40" s="16" t="s">
        <v>55</v>
      </c>
      <c r="D40" s="15">
        <v>2</v>
      </c>
      <c r="E40" s="15" t="s">
        <v>8</v>
      </c>
      <c r="F40" s="15" t="s">
        <v>28</v>
      </c>
      <c r="G40" s="15">
        <v>2</v>
      </c>
      <c r="H40" s="24">
        <v>0.0005238425925925926</v>
      </c>
      <c r="I40" s="27">
        <v>0.001058564814814815</v>
      </c>
      <c r="J40" s="27">
        <v>0.001648263888888889</v>
      </c>
      <c r="K40" s="22">
        <v>138.46</v>
      </c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</row>
    <row r="41" spans="1:32" s="14" customFormat="1" ht="11.25">
      <c r="A41" s="1">
        <v>39</v>
      </c>
      <c r="B41" s="15">
        <v>35472</v>
      </c>
      <c r="C41" s="16" t="s">
        <v>56</v>
      </c>
      <c r="D41" s="15">
        <v>1</v>
      </c>
      <c r="E41" s="15" t="s">
        <v>8</v>
      </c>
      <c r="F41" s="15" t="s">
        <v>18</v>
      </c>
      <c r="G41" s="1" t="s">
        <v>15</v>
      </c>
      <c r="H41" s="18">
        <v>0.0005177083333333332</v>
      </c>
      <c r="I41" s="37">
        <v>0.001071412037037037</v>
      </c>
      <c r="J41" s="37">
        <v>0.0016539351851851854</v>
      </c>
      <c r="K41" s="70">
        <v>138.648</v>
      </c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</row>
    <row r="42" spans="1:11" ht="12.75">
      <c r="A42" s="14">
        <v>40</v>
      </c>
      <c r="B42" s="1">
        <v>35586</v>
      </c>
      <c r="C42" s="53" t="s">
        <v>57</v>
      </c>
      <c r="D42" s="1">
        <v>2</v>
      </c>
      <c r="E42" s="1" t="s">
        <v>8</v>
      </c>
      <c r="F42" s="1" t="s">
        <v>173</v>
      </c>
      <c r="G42" s="1">
        <v>2</v>
      </c>
      <c r="H42" s="18">
        <v>0.0005172453703703704</v>
      </c>
      <c r="I42" s="37">
        <v>0.0010515046296296297</v>
      </c>
      <c r="J42" s="37">
        <v>0.0016888888888888889</v>
      </c>
      <c r="K42" s="70">
        <v>138.755</v>
      </c>
    </row>
    <row r="43" spans="1:11" ht="12.75">
      <c r="A43" s="14">
        <v>41</v>
      </c>
      <c r="B43" s="1">
        <v>35570</v>
      </c>
      <c r="C43" s="33" t="s">
        <v>58</v>
      </c>
      <c r="D43" s="1">
        <v>1</v>
      </c>
      <c r="E43" s="1" t="s">
        <v>8</v>
      </c>
      <c r="F43" s="1" t="s">
        <v>28</v>
      </c>
      <c r="G43" s="1">
        <v>2</v>
      </c>
      <c r="H43" s="18">
        <v>0.0005230324074074074</v>
      </c>
      <c r="I43" s="37">
        <v>0.0010766203703703704</v>
      </c>
      <c r="J43" s="37">
        <v>0.0016537037037037035</v>
      </c>
      <c r="K43" s="70">
        <v>139.327</v>
      </c>
    </row>
    <row r="44" spans="1:32" s="14" customFormat="1" ht="11.25">
      <c r="A44" s="1">
        <v>42</v>
      </c>
      <c r="B44" s="15">
        <v>35421</v>
      </c>
      <c r="C44" s="16" t="s">
        <v>59</v>
      </c>
      <c r="D44" s="15">
        <v>2</v>
      </c>
      <c r="E44" s="15" t="s">
        <v>41</v>
      </c>
      <c r="F44" s="15" t="s">
        <v>28</v>
      </c>
      <c r="G44" s="15">
        <v>1</v>
      </c>
      <c r="H44" s="24">
        <v>0.0005239583333333334</v>
      </c>
      <c r="I44" s="27">
        <v>0.0010623842592592592</v>
      </c>
      <c r="J44" s="27">
        <v>0.001678587962962963</v>
      </c>
      <c r="K44" s="22">
        <v>139.508</v>
      </c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</row>
    <row r="45" spans="1:11" ht="12.75">
      <c r="A45" s="14">
        <v>43</v>
      </c>
      <c r="B45" s="1">
        <v>35560</v>
      </c>
      <c r="C45" s="33" t="s">
        <v>60</v>
      </c>
      <c r="D45" s="1">
        <v>1</v>
      </c>
      <c r="E45" s="1" t="s">
        <v>8</v>
      </c>
      <c r="F45" s="1" t="s">
        <v>53</v>
      </c>
      <c r="G45" s="1">
        <v>1</v>
      </c>
      <c r="H45" s="18">
        <v>0.0005254629629629629</v>
      </c>
      <c r="I45" s="37">
        <v>0.0010846064814814815</v>
      </c>
      <c r="J45" s="37">
        <v>0.0016576388888888888</v>
      </c>
      <c r="K45" s="70">
        <v>139.995</v>
      </c>
    </row>
    <row r="46" spans="1:11" ht="12.75">
      <c r="A46" s="14">
        <v>44</v>
      </c>
      <c r="B46" s="1">
        <v>35557</v>
      </c>
      <c r="C46" s="33" t="s">
        <v>62</v>
      </c>
      <c r="D46" s="1">
        <v>2</v>
      </c>
      <c r="E46" s="1" t="s">
        <v>41</v>
      </c>
      <c r="F46" s="1" t="s">
        <v>53</v>
      </c>
      <c r="G46" s="1">
        <v>1</v>
      </c>
      <c r="H46" s="18">
        <v>0.0005314814814814814</v>
      </c>
      <c r="I46" s="37">
        <v>0.0010908564814814815</v>
      </c>
      <c r="J46" s="37">
        <v>0.0016556712962962964</v>
      </c>
      <c r="K46" s="70">
        <v>140.728</v>
      </c>
    </row>
    <row r="47" spans="1:32" s="14" customFormat="1" ht="11.25">
      <c r="A47" s="1">
        <v>45</v>
      </c>
      <c r="B47" s="15">
        <v>35346</v>
      </c>
      <c r="C47" s="16" t="s">
        <v>64</v>
      </c>
      <c r="D47" s="15">
        <v>1</v>
      </c>
      <c r="E47" s="15" t="s">
        <v>41</v>
      </c>
      <c r="F47" s="15" t="s">
        <v>9</v>
      </c>
      <c r="G47" s="15">
        <v>1</v>
      </c>
      <c r="H47" s="24">
        <v>0.0005320601851851852</v>
      </c>
      <c r="I47" s="27">
        <v>0.0010841435185185186</v>
      </c>
      <c r="J47" s="27">
        <v>0.0016777777777777778</v>
      </c>
      <c r="K47" s="22">
        <v>141.125</v>
      </c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</row>
    <row r="48" spans="1:32" s="14" customFormat="1" ht="11.25">
      <c r="A48" s="14">
        <v>46</v>
      </c>
      <c r="B48" s="15">
        <v>35337</v>
      </c>
      <c r="C48" s="16" t="s">
        <v>65</v>
      </c>
      <c r="D48" s="15">
        <v>1</v>
      </c>
      <c r="E48" s="15" t="s">
        <v>41</v>
      </c>
      <c r="F48" s="15" t="s">
        <v>18</v>
      </c>
      <c r="G48" s="1" t="s">
        <v>15</v>
      </c>
      <c r="H48" s="18">
        <v>0.0005261574074074074</v>
      </c>
      <c r="I48" s="37">
        <v>0.001090625</v>
      </c>
      <c r="J48" s="37">
        <v>0.0016875</v>
      </c>
      <c r="K48" s="70">
        <v>141.175</v>
      </c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</row>
    <row r="49" spans="1:11" ht="12.75">
      <c r="A49" s="14">
        <v>47</v>
      </c>
      <c r="B49" s="1">
        <v>35104</v>
      </c>
      <c r="C49" s="71" t="s">
        <v>178</v>
      </c>
      <c r="E49" s="69" t="s">
        <v>8</v>
      </c>
      <c r="F49" s="69" t="s">
        <v>25</v>
      </c>
      <c r="G49" s="1" t="s">
        <v>15</v>
      </c>
      <c r="H49" s="18">
        <v>0.0005417824074074074</v>
      </c>
      <c r="I49" s="37">
        <v>0.0011064814814814815</v>
      </c>
      <c r="J49" s="37">
        <v>0.001619212962962963</v>
      </c>
      <c r="K49" s="70">
        <v>141.243</v>
      </c>
    </row>
    <row r="50" spans="1:11" ht="12.75">
      <c r="A50" s="1">
        <v>48</v>
      </c>
      <c r="B50" s="1">
        <v>35558</v>
      </c>
      <c r="C50" s="33" t="s">
        <v>66</v>
      </c>
      <c r="D50" s="1">
        <v>1</v>
      </c>
      <c r="E50" s="1" t="s">
        <v>41</v>
      </c>
      <c r="F50" s="15" t="s">
        <v>28</v>
      </c>
      <c r="G50" s="1">
        <v>1</v>
      </c>
      <c r="H50" s="18">
        <v>0.0005336805555555556</v>
      </c>
      <c r="I50" s="37">
        <v>0.0010712962962962965</v>
      </c>
      <c r="J50" s="37">
        <v>0.0017059027777777778</v>
      </c>
      <c r="K50" s="70">
        <v>141.52</v>
      </c>
    </row>
    <row r="51" spans="1:11" ht="12.75">
      <c r="A51" s="14">
        <v>49</v>
      </c>
      <c r="B51" s="67">
        <v>35013</v>
      </c>
      <c r="C51" s="68" t="s">
        <v>179</v>
      </c>
      <c r="E51" s="69" t="s">
        <v>8</v>
      </c>
      <c r="F51" s="69" t="s">
        <v>13</v>
      </c>
      <c r="G51" s="1" t="s">
        <v>15</v>
      </c>
      <c r="H51" s="18">
        <v>0.0005518518518518519</v>
      </c>
      <c r="I51" s="37">
        <v>0.0010831018518518518</v>
      </c>
      <c r="J51" s="37">
        <v>0.0016363425925925927</v>
      </c>
      <c r="K51" s="70">
        <v>141.597</v>
      </c>
    </row>
    <row r="52" spans="1:32" s="14" customFormat="1" ht="11.25">
      <c r="A52" s="14">
        <v>50</v>
      </c>
      <c r="B52" s="15">
        <v>35407</v>
      </c>
      <c r="C52" s="16" t="s">
        <v>67</v>
      </c>
      <c r="D52" s="15">
        <v>2</v>
      </c>
      <c r="E52" s="15" t="s">
        <v>8</v>
      </c>
      <c r="F52" s="15" t="s">
        <v>18</v>
      </c>
      <c r="G52" s="1" t="s">
        <v>15</v>
      </c>
      <c r="H52" s="18">
        <v>0.0005373842592592593</v>
      </c>
      <c r="I52" s="37">
        <v>0.0010818287037037038</v>
      </c>
      <c r="J52" s="37">
        <v>0.0016962962962962964</v>
      </c>
      <c r="K52" s="70">
        <v>142.018</v>
      </c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</row>
    <row r="53" spans="1:11" ht="12.75">
      <c r="A53" s="1">
        <v>51</v>
      </c>
      <c r="B53" s="1">
        <v>35524</v>
      </c>
      <c r="C53" s="53" t="s">
        <v>68</v>
      </c>
      <c r="E53" s="1" t="s">
        <v>8</v>
      </c>
      <c r="F53" s="1" t="s">
        <v>13</v>
      </c>
      <c r="G53" s="1" t="s">
        <v>15</v>
      </c>
      <c r="H53" s="18">
        <v>0.0005306712962962963</v>
      </c>
      <c r="I53" s="37">
        <v>0.0010900462962962962</v>
      </c>
      <c r="J53" s="37">
        <v>0.001716550925925926</v>
      </c>
      <c r="K53" s="70">
        <v>142.377</v>
      </c>
    </row>
    <row r="54" spans="1:11" ht="12.75">
      <c r="A54" s="14">
        <v>52</v>
      </c>
      <c r="B54" s="67">
        <v>35014</v>
      </c>
      <c r="C54" s="68" t="s">
        <v>180</v>
      </c>
      <c r="E54" s="69" t="s">
        <v>41</v>
      </c>
      <c r="F54" s="69" t="s">
        <v>13</v>
      </c>
      <c r="G54" s="1" t="s">
        <v>15</v>
      </c>
      <c r="H54" s="18">
        <v>0.0005296296296296296</v>
      </c>
      <c r="I54" s="37">
        <v>0.0010548611111111112</v>
      </c>
      <c r="J54" s="37">
        <v>0.0017997685185185185</v>
      </c>
      <c r="K54" s="70">
        <v>143.163</v>
      </c>
    </row>
    <row r="55" spans="1:32" s="14" customFormat="1" ht="11.25">
      <c r="A55" s="14">
        <v>53</v>
      </c>
      <c r="B55" s="15">
        <v>35424</v>
      </c>
      <c r="C55" s="16" t="s">
        <v>70</v>
      </c>
      <c r="D55" s="15">
        <v>1</v>
      </c>
      <c r="E55" s="15" t="s">
        <v>41</v>
      </c>
      <c r="F55" s="15" t="s">
        <v>28</v>
      </c>
      <c r="G55" s="1" t="s">
        <v>15</v>
      </c>
      <c r="H55" s="18">
        <v>0.0005262731481481482</v>
      </c>
      <c r="I55" s="37">
        <v>0.0011099537037037035</v>
      </c>
      <c r="J55" s="37">
        <v>0.0017413194444444444</v>
      </c>
      <c r="K55" s="70">
        <v>143.57</v>
      </c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</row>
    <row r="56" spans="1:32" s="14" customFormat="1" ht="11.25">
      <c r="A56" s="1">
        <v>54</v>
      </c>
      <c r="B56" s="15">
        <v>35031</v>
      </c>
      <c r="C56" s="16" t="s">
        <v>71</v>
      </c>
      <c r="D56" s="15"/>
      <c r="E56" s="15" t="s">
        <v>8</v>
      </c>
      <c r="F56" s="15" t="s">
        <v>25</v>
      </c>
      <c r="G56" s="15">
        <v>5</v>
      </c>
      <c r="H56" s="24">
        <v>0.0005613425925925926</v>
      </c>
      <c r="I56" s="27">
        <v>0.0010873842592592593</v>
      </c>
      <c r="J56" s="27">
        <v>0.0016865740740740738</v>
      </c>
      <c r="K56" s="22">
        <v>144.048</v>
      </c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</row>
    <row r="57" spans="1:11" ht="12.75">
      <c r="A57" s="14">
        <v>55</v>
      </c>
      <c r="B57" s="1">
        <v>35582</v>
      </c>
      <c r="C57" s="33" t="s">
        <v>72</v>
      </c>
      <c r="D57" s="1">
        <v>1</v>
      </c>
      <c r="E57" s="15" t="s">
        <v>8</v>
      </c>
      <c r="F57" s="1" t="s">
        <v>53</v>
      </c>
      <c r="G57" s="1">
        <v>1</v>
      </c>
      <c r="H57" s="18">
        <v>0.0005276620370370371</v>
      </c>
      <c r="I57" s="37">
        <v>0.0011030092592592593</v>
      </c>
      <c r="J57" s="37">
        <v>0.0017780092592592593</v>
      </c>
      <c r="K57" s="70">
        <v>144.447</v>
      </c>
    </row>
    <row r="58" spans="1:32" s="14" customFormat="1" ht="11.25">
      <c r="A58" s="14">
        <v>56</v>
      </c>
      <c r="B58" s="15">
        <v>35277</v>
      </c>
      <c r="C58" s="16" t="s">
        <v>73</v>
      </c>
      <c r="D58" s="15">
        <v>3</v>
      </c>
      <c r="E58" s="15" t="s">
        <v>41</v>
      </c>
      <c r="F58" s="15" t="s">
        <v>9</v>
      </c>
      <c r="G58" s="15">
        <v>1</v>
      </c>
      <c r="H58" s="24">
        <v>0.0005533564814814815</v>
      </c>
      <c r="I58" s="27">
        <v>0.0011096064814814816</v>
      </c>
      <c r="J58" s="27">
        <v>0.0016931712962962961</v>
      </c>
      <c r="K58" s="22">
        <v>144.508</v>
      </c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</row>
    <row r="59" spans="1:11" ht="12.75">
      <c r="A59" s="1">
        <v>57</v>
      </c>
      <c r="B59" s="1">
        <v>35164</v>
      </c>
      <c r="C59" s="33" t="s">
        <v>103</v>
      </c>
      <c r="E59" s="1" t="s">
        <v>41</v>
      </c>
      <c r="F59" s="1" t="s">
        <v>13</v>
      </c>
      <c r="G59" s="1" t="s">
        <v>15</v>
      </c>
      <c r="H59" s="18">
        <v>0.0005387731481481481</v>
      </c>
      <c r="I59" s="37">
        <v>0.0011083333333333333</v>
      </c>
      <c r="J59" s="37">
        <v>0.0017427083333333333</v>
      </c>
      <c r="K59" s="70">
        <v>144.62</v>
      </c>
    </row>
    <row r="60" spans="1:32" s="14" customFormat="1" ht="11.25">
      <c r="A60" s="14">
        <v>58</v>
      </c>
      <c r="B60" s="15">
        <v>35423</v>
      </c>
      <c r="C60" s="16" t="s">
        <v>74</v>
      </c>
      <c r="D60" s="15">
        <v>1</v>
      </c>
      <c r="E60" s="15" t="s">
        <v>41</v>
      </c>
      <c r="F60" s="15" t="s">
        <v>28</v>
      </c>
      <c r="G60" s="15">
        <v>1</v>
      </c>
      <c r="H60" s="24">
        <v>0.0005481481481481482</v>
      </c>
      <c r="I60" s="27">
        <v>0.0010972222222222223</v>
      </c>
      <c r="J60" s="27">
        <v>0.0017373842592592595</v>
      </c>
      <c r="K60" s="22">
        <v>144.797</v>
      </c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</row>
    <row r="61" spans="1:11" ht="12.75">
      <c r="A61" s="14">
        <v>59</v>
      </c>
      <c r="B61" s="67">
        <v>35132</v>
      </c>
      <c r="C61" s="68" t="s">
        <v>181</v>
      </c>
      <c r="E61" s="69" t="s">
        <v>41</v>
      </c>
      <c r="F61" s="69" t="s">
        <v>11</v>
      </c>
      <c r="G61" s="1" t="s">
        <v>15</v>
      </c>
      <c r="H61" s="18">
        <v>0.0005489583333333333</v>
      </c>
      <c r="I61" s="37">
        <v>0.0011103009259259258</v>
      </c>
      <c r="J61" s="37">
        <v>0.0017159722222222222</v>
      </c>
      <c r="K61" s="70">
        <v>144.815</v>
      </c>
    </row>
    <row r="62" spans="1:32" s="14" customFormat="1" ht="11.25">
      <c r="A62" s="1">
        <v>60</v>
      </c>
      <c r="B62" s="15">
        <v>35318</v>
      </c>
      <c r="C62" s="16" t="s">
        <v>75</v>
      </c>
      <c r="D62" s="15">
        <v>2</v>
      </c>
      <c r="E62" s="15" t="s">
        <v>41</v>
      </c>
      <c r="F62" s="15" t="s">
        <v>18</v>
      </c>
      <c r="G62" s="15">
        <v>1</v>
      </c>
      <c r="H62" s="24">
        <v>0.000553125</v>
      </c>
      <c r="I62" s="27">
        <v>0.0011060185185185185</v>
      </c>
      <c r="J62" s="27">
        <v>0.001710648148148148</v>
      </c>
      <c r="K62" s="22">
        <v>144.837</v>
      </c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</row>
    <row r="63" spans="1:11" ht="12.75">
      <c r="A63" s="14">
        <v>61</v>
      </c>
      <c r="B63" s="55">
        <v>35031</v>
      </c>
      <c r="C63" s="66" t="s">
        <v>71</v>
      </c>
      <c r="E63" s="55" t="s">
        <v>8</v>
      </c>
      <c r="F63" s="55" t="s">
        <v>25</v>
      </c>
      <c r="G63" s="1" t="s">
        <v>15</v>
      </c>
      <c r="H63" s="18">
        <v>0.0005613425925925926</v>
      </c>
      <c r="I63" s="37">
        <v>0.0010873842592592593</v>
      </c>
      <c r="J63" s="37">
        <v>0.0016865740740740738</v>
      </c>
      <c r="K63" s="70">
        <v>145.058</v>
      </c>
    </row>
    <row r="64" spans="1:32" s="14" customFormat="1" ht="11.25">
      <c r="A64" s="14">
        <v>62</v>
      </c>
      <c r="B64" s="15">
        <v>35121</v>
      </c>
      <c r="C64" s="16" t="s">
        <v>76</v>
      </c>
      <c r="D64" s="15"/>
      <c r="E64" s="15" t="s">
        <v>41</v>
      </c>
      <c r="F64" s="15" t="s">
        <v>11</v>
      </c>
      <c r="G64" s="1" t="s">
        <v>15</v>
      </c>
      <c r="H64" s="18">
        <v>0.0005475694444444445</v>
      </c>
      <c r="I64" s="37">
        <v>0.0011202546296296297</v>
      </c>
      <c r="J64" s="37">
        <v>0.0017368055555555555</v>
      </c>
      <c r="K64" s="70">
        <v>145.725</v>
      </c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</row>
    <row r="65" spans="1:11" ht="12.75">
      <c r="A65" s="1">
        <v>63</v>
      </c>
      <c r="B65" s="1">
        <v>35075</v>
      </c>
      <c r="C65" s="71" t="s">
        <v>182</v>
      </c>
      <c r="E65" s="69" t="s">
        <v>8</v>
      </c>
      <c r="F65" s="69" t="s">
        <v>25</v>
      </c>
      <c r="G65" s="1" t="s">
        <v>15</v>
      </c>
      <c r="H65" s="18">
        <v>0.00055625</v>
      </c>
      <c r="I65" s="37">
        <v>0.001131712962962963</v>
      </c>
      <c r="J65" s="37">
        <v>0.0017245370370370372</v>
      </c>
      <c r="K65" s="70">
        <v>146.61700000000002</v>
      </c>
    </row>
    <row r="66" spans="1:11" ht="12.75">
      <c r="A66" s="14">
        <v>64</v>
      </c>
      <c r="B66" s="67">
        <v>35141</v>
      </c>
      <c r="C66" s="68" t="s">
        <v>183</v>
      </c>
      <c r="E66" s="69" t="s">
        <v>8</v>
      </c>
      <c r="F66" s="69" t="s">
        <v>13</v>
      </c>
      <c r="G66" s="1" t="s">
        <v>15</v>
      </c>
      <c r="H66" s="18">
        <v>0.0005537037037037037</v>
      </c>
      <c r="I66" s="37">
        <v>0.0011341435185185185</v>
      </c>
      <c r="J66" s="37">
        <v>0.0017513888888888891</v>
      </c>
      <c r="K66" s="70">
        <v>147.275</v>
      </c>
    </row>
    <row r="67" spans="1:11" ht="12.75">
      <c r="A67" s="14">
        <v>65</v>
      </c>
      <c r="C67" s="71" t="s">
        <v>184</v>
      </c>
      <c r="E67" s="69" t="s">
        <v>8</v>
      </c>
      <c r="F67" s="69" t="s">
        <v>25</v>
      </c>
      <c r="G67" s="1" t="s">
        <v>15</v>
      </c>
      <c r="H67" s="18">
        <v>0.000556712962962963</v>
      </c>
      <c r="I67" s="37">
        <v>0.0011481481481481481</v>
      </c>
      <c r="J67" s="37">
        <v>0.001744212962962963</v>
      </c>
      <c r="K67" s="70">
        <v>147.933</v>
      </c>
    </row>
    <row r="68" spans="1:11" ht="12.75">
      <c r="A68" s="1">
        <v>66</v>
      </c>
      <c r="B68" s="1">
        <v>35573</v>
      </c>
      <c r="C68" s="33" t="s">
        <v>78</v>
      </c>
      <c r="E68" s="1" t="s">
        <v>8</v>
      </c>
      <c r="F68" s="1" t="s">
        <v>25</v>
      </c>
      <c r="G68" s="1" t="s">
        <v>15</v>
      </c>
      <c r="H68" s="18">
        <v>0.0005668981481481481</v>
      </c>
      <c r="I68" s="37">
        <v>0.0011430555555555554</v>
      </c>
      <c r="J68" s="37">
        <v>0.0017523148148148148</v>
      </c>
      <c r="K68" s="70">
        <v>148.827</v>
      </c>
    </row>
    <row r="69" spans="1:32" s="14" customFormat="1" ht="11.25">
      <c r="A69" s="14">
        <v>67</v>
      </c>
      <c r="B69" s="15">
        <v>35006</v>
      </c>
      <c r="C69" s="16" t="s">
        <v>79</v>
      </c>
      <c r="D69" s="15"/>
      <c r="E69" s="15" t="s">
        <v>41</v>
      </c>
      <c r="F69" s="15" t="s">
        <v>13</v>
      </c>
      <c r="G69" s="15" t="s">
        <v>15</v>
      </c>
      <c r="H69" s="24">
        <v>0.0005636574074074075</v>
      </c>
      <c r="I69" s="27">
        <v>0.0011625</v>
      </c>
      <c r="J69" s="27">
        <v>0.001784837962962963</v>
      </c>
      <c r="K69" s="22">
        <v>150.323</v>
      </c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</row>
    <row r="70" spans="1:11" ht="12.75">
      <c r="A70" s="14">
        <v>68</v>
      </c>
      <c r="B70" s="67">
        <v>35235</v>
      </c>
      <c r="C70" s="68" t="s">
        <v>185</v>
      </c>
      <c r="E70" s="69" t="s">
        <v>41</v>
      </c>
      <c r="F70" s="69" t="s">
        <v>9</v>
      </c>
      <c r="G70" s="1" t="s">
        <v>15</v>
      </c>
      <c r="H70" s="18">
        <v>0.0005689814814814814</v>
      </c>
      <c r="I70" s="37">
        <v>0.0011604166666666666</v>
      </c>
      <c r="J70" s="37">
        <v>0.0017790509259259261</v>
      </c>
      <c r="K70" s="70">
        <v>150.527</v>
      </c>
    </row>
    <row r="71" spans="1:11" ht="12.75">
      <c r="A71" s="1">
        <v>69</v>
      </c>
      <c r="C71" s="71" t="s">
        <v>186</v>
      </c>
      <c r="E71" s="76" t="s">
        <v>8</v>
      </c>
      <c r="F71" s="76" t="s">
        <v>187</v>
      </c>
      <c r="G71" s="1" t="s">
        <v>15</v>
      </c>
      <c r="H71" s="18">
        <v>0.0005711805555555556</v>
      </c>
      <c r="I71" s="37">
        <v>0.0011689814814814816</v>
      </c>
      <c r="J71" s="37">
        <v>0.0017667824074074072</v>
      </c>
      <c r="K71" s="70">
        <v>150.733</v>
      </c>
    </row>
    <row r="72" spans="1:11" ht="12.75">
      <c r="A72" s="14">
        <v>70</v>
      </c>
      <c r="B72" s="1">
        <v>35099</v>
      </c>
      <c r="C72" s="71" t="s">
        <v>188</v>
      </c>
      <c r="E72" s="69" t="s">
        <v>8</v>
      </c>
      <c r="F72" s="69" t="s">
        <v>25</v>
      </c>
      <c r="G72" s="1" t="s">
        <v>15</v>
      </c>
      <c r="H72" s="18">
        <v>0.0005746527777777778</v>
      </c>
      <c r="I72" s="37">
        <v>0.0011469907407407407</v>
      </c>
      <c r="J72" s="37">
        <v>0.0018131944444444443</v>
      </c>
      <c r="K72" s="70">
        <v>151.42</v>
      </c>
    </row>
    <row r="73" spans="1:11" s="14" customFormat="1" ht="11.25">
      <c r="A73" s="14">
        <v>71</v>
      </c>
      <c r="B73" s="14">
        <v>35542</v>
      </c>
      <c r="C73" s="16" t="s">
        <v>81</v>
      </c>
      <c r="D73" s="14">
        <v>1</v>
      </c>
      <c r="E73" s="14" t="s">
        <v>41</v>
      </c>
      <c r="F73" s="14" t="s">
        <v>53</v>
      </c>
      <c r="G73" s="14">
        <v>1</v>
      </c>
      <c r="H73" s="42">
        <v>0.000581712962962963</v>
      </c>
      <c r="I73" s="44">
        <v>0.0011498842592592591</v>
      </c>
      <c r="J73" s="44">
        <v>0.001813773148148148</v>
      </c>
      <c r="K73" s="77">
        <v>152.172</v>
      </c>
    </row>
    <row r="74" spans="1:11" ht="12.75">
      <c r="A74" s="1">
        <v>72</v>
      </c>
      <c r="B74" s="1">
        <v>35578</v>
      </c>
      <c r="C74" s="33" t="s">
        <v>82</v>
      </c>
      <c r="D74" s="1">
        <v>1</v>
      </c>
      <c r="E74" s="15" t="s">
        <v>8</v>
      </c>
      <c r="F74" s="15" t="s">
        <v>53</v>
      </c>
      <c r="G74" s="1">
        <v>2</v>
      </c>
      <c r="H74" s="18">
        <v>0.0005650462962962962</v>
      </c>
      <c r="I74" s="37">
        <v>0.0011579861111111112</v>
      </c>
      <c r="J74" s="37">
        <v>0.0018865740740740742</v>
      </c>
      <c r="K74" s="70">
        <v>153.178</v>
      </c>
    </row>
    <row r="75" spans="1:32" s="14" customFormat="1" ht="11.25">
      <c r="A75" s="14">
        <v>73</v>
      </c>
      <c r="B75" s="15">
        <v>35045</v>
      </c>
      <c r="C75" s="16" t="s">
        <v>83</v>
      </c>
      <c r="D75" s="15"/>
      <c r="E75" s="15" t="s">
        <v>41</v>
      </c>
      <c r="F75" s="15" t="s">
        <v>13</v>
      </c>
      <c r="G75" s="15" t="s">
        <v>15</v>
      </c>
      <c r="H75" s="24">
        <v>0.0005762731481481481</v>
      </c>
      <c r="I75" s="27">
        <v>0.0011859953703703705</v>
      </c>
      <c r="J75" s="27">
        <v>0.0018114583333333333</v>
      </c>
      <c r="K75" s="22">
        <v>153.195</v>
      </c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</row>
    <row r="76" spans="1:11" ht="12.75">
      <c r="A76" s="14">
        <v>74</v>
      </c>
      <c r="B76" s="1">
        <v>35595</v>
      </c>
      <c r="C76" s="53" t="s">
        <v>84</v>
      </c>
      <c r="D76" s="1">
        <v>2</v>
      </c>
      <c r="E76" s="1" t="s">
        <v>41</v>
      </c>
      <c r="F76" s="1" t="s">
        <v>173</v>
      </c>
      <c r="G76" s="1">
        <v>2</v>
      </c>
      <c r="H76" s="18">
        <v>0.0005863425925925925</v>
      </c>
      <c r="I76" s="37">
        <v>0.001186111111111111</v>
      </c>
      <c r="J76" s="37">
        <v>0.001863310185185185</v>
      </c>
      <c r="K76" s="70">
        <v>155.563</v>
      </c>
    </row>
    <row r="77" spans="1:11" ht="12.75">
      <c r="A77" s="1">
        <v>75</v>
      </c>
      <c r="B77" s="67">
        <v>35126</v>
      </c>
      <c r="C77" s="68" t="s">
        <v>189</v>
      </c>
      <c r="E77" s="69" t="s">
        <v>8</v>
      </c>
      <c r="F77" s="69" t="s">
        <v>11</v>
      </c>
      <c r="G77" s="1" t="s">
        <v>15</v>
      </c>
      <c r="H77" s="18">
        <v>0.0005783564814814815</v>
      </c>
      <c r="I77" s="37">
        <v>0.0012049768518518518</v>
      </c>
      <c r="J77" s="37">
        <v>0.0018697916666666665</v>
      </c>
      <c r="K77" s="70">
        <v>155.875</v>
      </c>
    </row>
    <row r="78" spans="1:11" ht="12.75">
      <c r="A78" s="14">
        <v>76</v>
      </c>
      <c r="C78" s="68" t="s">
        <v>190</v>
      </c>
      <c r="E78" s="69" t="s">
        <v>8</v>
      </c>
      <c r="F78" s="69" t="s">
        <v>25</v>
      </c>
      <c r="G78" s="1" t="s">
        <v>15</v>
      </c>
      <c r="H78" s="18">
        <v>0.00059375</v>
      </c>
      <c r="I78" s="37">
        <v>0.0012037037037037038</v>
      </c>
      <c r="J78" s="37">
        <v>0.0018774305555555556</v>
      </c>
      <c r="K78" s="70">
        <v>157.37</v>
      </c>
    </row>
    <row r="79" spans="1:11" ht="12.75">
      <c r="A79" s="14">
        <v>77</v>
      </c>
      <c r="B79" s="67">
        <v>35242</v>
      </c>
      <c r="C79" s="68" t="s">
        <v>191</v>
      </c>
      <c r="E79" s="69" t="s">
        <v>41</v>
      </c>
      <c r="F79" s="69" t="s">
        <v>9</v>
      </c>
      <c r="G79" s="1" t="s">
        <v>15</v>
      </c>
      <c r="H79" s="18">
        <v>0.0005755787037037037</v>
      </c>
      <c r="I79" s="37">
        <v>0.0011907407407407407</v>
      </c>
      <c r="J79" s="37">
        <v>0.0019525462962962962</v>
      </c>
      <c r="K79" s="70">
        <v>157.403</v>
      </c>
    </row>
    <row r="80" spans="1:11" ht="12.75">
      <c r="A80" s="1">
        <v>78</v>
      </c>
      <c r="B80" s="1">
        <v>35198</v>
      </c>
      <c r="C80" s="53" t="s">
        <v>86</v>
      </c>
      <c r="E80" s="1" t="s">
        <v>8</v>
      </c>
      <c r="F80" s="1" t="s">
        <v>13</v>
      </c>
      <c r="G80" s="1">
        <v>6</v>
      </c>
      <c r="H80" s="18">
        <v>0.0005568287037037037</v>
      </c>
      <c r="I80" s="37">
        <v>0.0011881944444444444</v>
      </c>
      <c r="J80" s="37">
        <v>0.002022337962962963</v>
      </c>
      <c r="K80" s="70">
        <v>157.683</v>
      </c>
    </row>
    <row r="81" spans="1:11" ht="12.75">
      <c r="A81" s="14">
        <v>79</v>
      </c>
      <c r="B81" s="67">
        <v>35175</v>
      </c>
      <c r="C81" s="68" t="s">
        <v>192</v>
      </c>
      <c r="E81" s="69" t="s">
        <v>8</v>
      </c>
      <c r="F81" s="69" t="s">
        <v>11</v>
      </c>
      <c r="G81" s="1" t="s">
        <v>15</v>
      </c>
      <c r="H81" s="18">
        <v>0.0005930555555555555</v>
      </c>
      <c r="I81" s="37">
        <v>0.001208101851851852</v>
      </c>
      <c r="J81" s="37">
        <v>0.0018968750000000001</v>
      </c>
      <c r="K81" s="70">
        <v>158.06</v>
      </c>
    </row>
    <row r="82" spans="1:11" ht="12.75">
      <c r="A82" s="14">
        <v>80</v>
      </c>
      <c r="B82" s="1">
        <v>35194</v>
      </c>
      <c r="C82" s="33" t="s">
        <v>111</v>
      </c>
      <c r="E82" s="1" t="s">
        <v>8</v>
      </c>
      <c r="F82" s="1" t="s">
        <v>13</v>
      </c>
      <c r="G82" s="1" t="s">
        <v>15</v>
      </c>
      <c r="H82" s="18">
        <v>0.0005747685185185185</v>
      </c>
      <c r="I82" s="37">
        <v>0.0011547453703703704</v>
      </c>
      <c r="J82" s="37">
        <v>0.002085416666666667</v>
      </c>
      <c r="K82" s="70">
        <v>159.665</v>
      </c>
    </row>
    <row r="83" spans="1:32" s="14" customFormat="1" ht="11.25">
      <c r="A83" s="1">
        <v>81</v>
      </c>
      <c r="B83" s="15">
        <v>35279</v>
      </c>
      <c r="C83" s="16" t="s">
        <v>87</v>
      </c>
      <c r="D83" s="15">
        <v>2</v>
      </c>
      <c r="E83" s="15" t="s">
        <v>41</v>
      </c>
      <c r="F83" s="15" t="s">
        <v>9</v>
      </c>
      <c r="G83" s="15">
        <v>3</v>
      </c>
      <c r="H83" s="24">
        <v>0.000603587962962963</v>
      </c>
      <c r="I83" s="27">
        <v>0.0012451388888888887</v>
      </c>
      <c r="J83" s="27">
        <v>0.0019474537037037036</v>
      </c>
      <c r="K83" s="22">
        <v>162.027</v>
      </c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</row>
    <row r="84" spans="1:11" ht="12.75">
      <c r="A84" s="14">
        <v>82</v>
      </c>
      <c r="B84" s="1">
        <v>35603</v>
      </c>
      <c r="C84" s="53" t="s">
        <v>88</v>
      </c>
      <c r="D84" s="1">
        <v>1</v>
      </c>
      <c r="E84" s="1" t="s">
        <v>41</v>
      </c>
      <c r="F84" s="15" t="s">
        <v>28</v>
      </c>
      <c r="G84" s="1">
        <v>3</v>
      </c>
      <c r="H84" s="18">
        <v>0.0006082175925925926</v>
      </c>
      <c r="I84" s="37">
        <v>0.0012246527777777778</v>
      </c>
      <c r="J84" s="37">
        <v>0.00196875</v>
      </c>
      <c r="K84" s="70">
        <v>162.155</v>
      </c>
    </row>
    <row r="85" spans="1:32" s="14" customFormat="1" ht="11.25">
      <c r="A85" s="14">
        <v>83</v>
      </c>
      <c r="B85" s="15">
        <v>35334</v>
      </c>
      <c r="C85" s="16" t="s">
        <v>89</v>
      </c>
      <c r="D85" s="15">
        <v>2</v>
      </c>
      <c r="E85" s="15" t="s">
        <v>41</v>
      </c>
      <c r="F85" s="15" t="s">
        <v>28</v>
      </c>
      <c r="G85" s="15">
        <v>3</v>
      </c>
      <c r="H85" s="24">
        <v>0.0006215277777777778</v>
      </c>
      <c r="I85" s="27">
        <v>0.0012636574074074074</v>
      </c>
      <c r="J85" s="27">
        <v>0.0019063657407407406</v>
      </c>
      <c r="K85" s="22">
        <v>163.193</v>
      </c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</row>
    <row r="86" spans="1:11" ht="12.75">
      <c r="A86" s="1">
        <v>84</v>
      </c>
      <c r="B86" s="67">
        <v>35152</v>
      </c>
      <c r="C86" s="68" t="s">
        <v>193</v>
      </c>
      <c r="E86" s="69" t="s">
        <v>8</v>
      </c>
      <c r="F86" s="69" t="s">
        <v>25</v>
      </c>
      <c r="G86" s="1" t="s">
        <v>15</v>
      </c>
      <c r="H86" s="18">
        <v>0.0006125</v>
      </c>
      <c r="I86" s="37">
        <v>0.0012533564814814814</v>
      </c>
      <c r="J86" s="37">
        <v>0.0019717592592592595</v>
      </c>
      <c r="K86" s="70">
        <v>163.852</v>
      </c>
    </row>
    <row r="87" spans="1:11" ht="12.75">
      <c r="A87" s="14">
        <v>85</v>
      </c>
      <c r="B87" s="1">
        <v>35197</v>
      </c>
      <c r="C87" s="33" t="s">
        <v>90</v>
      </c>
      <c r="E87" s="15" t="s">
        <v>8</v>
      </c>
      <c r="F87" s="15" t="s">
        <v>25</v>
      </c>
      <c r="G87" s="1">
        <v>6</v>
      </c>
      <c r="H87" s="18">
        <v>0.0006064814814814814</v>
      </c>
      <c r="I87" s="37">
        <v>0.0012556712962962962</v>
      </c>
      <c r="J87" s="37">
        <v>0.002030208333333333</v>
      </c>
      <c r="K87" s="70">
        <v>165.115</v>
      </c>
    </row>
    <row r="88" spans="1:11" ht="12.75">
      <c r="A88" s="14">
        <v>86</v>
      </c>
      <c r="B88" s="1">
        <v>35599</v>
      </c>
      <c r="C88" s="53" t="s">
        <v>91</v>
      </c>
      <c r="D88" s="1">
        <v>2</v>
      </c>
      <c r="E88" s="1" t="s">
        <v>41</v>
      </c>
      <c r="F88" s="1" t="s">
        <v>140</v>
      </c>
      <c r="G88" s="1">
        <v>3</v>
      </c>
      <c r="H88" s="18">
        <v>0.0006284722222222222</v>
      </c>
      <c r="I88" s="37">
        <v>0.001292361111111111</v>
      </c>
      <c r="J88" s="37">
        <v>0.0019184027777777778</v>
      </c>
      <c r="K88" s="70">
        <v>165.38</v>
      </c>
    </row>
    <row r="89" spans="1:11" ht="12.75">
      <c r="A89" s="1">
        <v>87</v>
      </c>
      <c r="B89" s="67">
        <v>35091</v>
      </c>
      <c r="C89" s="68" t="s">
        <v>194</v>
      </c>
      <c r="E89" s="69" t="s">
        <v>8</v>
      </c>
      <c r="F89" s="69" t="s">
        <v>25</v>
      </c>
      <c r="G89" s="1" t="s">
        <v>15</v>
      </c>
      <c r="H89" s="18">
        <v>0.0006422453703703704</v>
      </c>
      <c r="I89" s="37">
        <v>0.0012859953703703705</v>
      </c>
      <c r="J89" s="37">
        <v>0.0020538194444444445</v>
      </c>
      <c r="K89" s="70">
        <v>170.195</v>
      </c>
    </row>
    <row r="90" spans="1:32" s="14" customFormat="1" ht="11.25">
      <c r="A90" s="14">
        <v>88</v>
      </c>
      <c r="B90" s="15">
        <v>35275</v>
      </c>
      <c r="C90" s="16" t="s">
        <v>92</v>
      </c>
      <c r="D90" s="15">
        <v>2</v>
      </c>
      <c r="E90" s="15" t="s">
        <v>41</v>
      </c>
      <c r="F90" s="15" t="s">
        <v>9</v>
      </c>
      <c r="G90" s="1" t="s">
        <v>15</v>
      </c>
      <c r="H90" s="18">
        <v>0.00065</v>
      </c>
      <c r="I90" s="37">
        <v>0.0013070601851851852</v>
      </c>
      <c r="J90" s="37">
        <v>0.0020800925925925926</v>
      </c>
      <c r="K90" s="70">
        <v>172.53199999999998</v>
      </c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</row>
    <row r="91" spans="1:11" ht="12.75">
      <c r="A91" s="14">
        <v>89</v>
      </c>
      <c r="B91" s="1">
        <v>35211</v>
      </c>
      <c r="C91" s="33" t="s">
        <v>131</v>
      </c>
      <c r="E91" s="15" t="s">
        <v>8</v>
      </c>
      <c r="F91" s="15" t="s">
        <v>25</v>
      </c>
      <c r="G91" s="1" t="s">
        <v>15</v>
      </c>
      <c r="H91" s="18">
        <v>0.0006243055555555555</v>
      </c>
      <c r="I91" s="37">
        <v>0.0012516203703703704</v>
      </c>
      <c r="J91" s="37">
        <v>0.002237962962962963</v>
      </c>
      <c r="K91" s="70">
        <v>176.916</v>
      </c>
    </row>
    <row r="92" spans="1:11" ht="12.75">
      <c r="A92" s="1">
        <v>90</v>
      </c>
      <c r="B92" s="67">
        <v>35193</v>
      </c>
      <c r="C92" s="68" t="s">
        <v>195</v>
      </c>
      <c r="E92" s="69" t="s">
        <v>8</v>
      </c>
      <c r="F92" s="69" t="s">
        <v>25</v>
      </c>
      <c r="G92" s="1" t="s">
        <v>15</v>
      </c>
      <c r="H92" s="18">
        <v>0.0006744212962962963</v>
      </c>
      <c r="I92" s="37">
        <v>0.001384837962962963</v>
      </c>
      <c r="J92" s="37">
        <v>0.0022824074074074075</v>
      </c>
      <c r="K92" s="70">
        <v>183.828</v>
      </c>
    </row>
    <row r="93" spans="1:11" ht="12.75">
      <c r="A93" s="14">
        <v>91</v>
      </c>
      <c r="B93" s="67">
        <v>35394</v>
      </c>
      <c r="C93" s="68" t="s">
        <v>196</v>
      </c>
      <c r="E93" s="69" t="s">
        <v>41</v>
      </c>
      <c r="F93" s="69" t="s">
        <v>11</v>
      </c>
      <c r="G93" s="1" t="s">
        <v>15</v>
      </c>
      <c r="H93" s="18">
        <v>0.000685763888888889</v>
      </c>
      <c r="I93" s="37">
        <v>0.001445833333333333</v>
      </c>
      <c r="J93" s="37">
        <v>0.002338888888888889</v>
      </c>
      <c r="K93" s="70">
        <v>189.07</v>
      </c>
    </row>
    <row r="94" spans="1:11" ht="12.75">
      <c r="A94" s="14">
        <v>92</v>
      </c>
      <c r="B94" s="1">
        <v>35433</v>
      </c>
      <c r="C94" s="33" t="s">
        <v>159</v>
      </c>
      <c r="E94" s="15" t="s">
        <v>8</v>
      </c>
      <c r="F94" s="15" t="s">
        <v>25</v>
      </c>
      <c r="G94" s="1" t="s">
        <v>15</v>
      </c>
      <c r="H94" s="18">
        <v>0.0006548611111111112</v>
      </c>
      <c r="I94" s="37">
        <v>0.0013379629629629629</v>
      </c>
      <c r="J94" s="37">
        <v>0.0021409722222222225</v>
      </c>
      <c r="K94" s="70">
        <v>216.04</v>
      </c>
    </row>
    <row r="95" spans="1:11" s="14" customFormat="1" ht="11.25">
      <c r="A95" s="1">
        <v>93</v>
      </c>
      <c r="B95" s="14">
        <v>35552</v>
      </c>
      <c r="C95" s="16" t="s">
        <v>101</v>
      </c>
      <c r="D95" s="14" t="s">
        <v>96</v>
      </c>
      <c r="E95" s="14" t="s">
        <v>8</v>
      </c>
      <c r="F95" s="14" t="s">
        <v>114</v>
      </c>
      <c r="G95" s="14">
        <v>1</v>
      </c>
      <c r="H95" s="42">
        <v>0.0004958333333333334</v>
      </c>
      <c r="I95" s="44">
        <v>0.0010202546296296296</v>
      </c>
      <c r="J95" s="44"/>
      <c r="K95" s="77">
        <v>86.915</v>
      </c>
    </row>
    <row r="96" spans="1:11" ht="12.75">
      <c r="A96" s="14">
        <v>94</v>
      </c>
      <c r="B96" s="1">
        <v>35581</v>
      </c>
      <c r="C96" s="33" t="s">
        <v>104</v>
      </c>
      <c r="E96" s="1" t="s">
        <v>8</v>
      </c>
      <c r="F96" s="1" t="s">
        <v>13</v>
      </c>
      <c r="G96" s="1" t="s">
        <v>15</v>
      </c>
      <c r="H96" s="18">
        <v>0.0005471064814814815</v>
      </c>
      <c r="I96" s="37">
        <v>0.0011010416666666666</v>
      </c>
      <c r="J96" s="37"/>
      <c r="K96" s="70">
        <v>94.835</v>
      </c>
    </row>
    <row r="97" spans="1:11" ht="12.75">
      <c r="A97" s="14">
        <v>95</v>
      </c>
      <c r="B97" s="1">
        <v>35597</v>
      </c>
      <c r="C97" s="62" t="s">
        <v>106</v>
      </c>
      <c r="D97" s="1" t="s">
        <v>96</v>
      </c>
      <c r="E97" s="1" t="s">
        <v>8</v>
      </c>
      <c r="F97" s="1" t="s">
        <v>97</v>
      </c>
      <c r="G97" s="1">
        <v>1</v>
      </c>
      <c r="H97" s="18">
        <v>0.0005526620370370369</v>
      </c>
      <c r="I97" s="37">
        <v>0.0011103009259259258</v>
      </c>
      <c r="J97" s="37"/>
      <c r="K97" s="70">
        <v>95.715</v>
      </c>
    </row>
    <row r="98" spans="1:11" ht="12.75">
      <c r="A98" s="1">
        <v>96</v>
      </c>
      <c r="B98" s="1">
        <v>35602</v>
      </c>
      <c r="C98" s="53" t="s">
        <v>107</v>
      </c>
      <c r="D98" s="1" t="s">
        <v>96</v>
      </c>
      <c r="E98" s="1" t="s">
        <v>41</v>
      </c>
      <c r="F98" s="1" t="s">
        <v>97</v>
      </c>
      <c r="G98" s="1">
        <v>1</v>
      </c>
      <c r="H98" s="18">
        <v>0.0005561342592592593</v>
      </c>
      <c r="I98" s="37">
        <v>0.0011313657407407407</v>
      </c>
      <c r="J98" s="37"/>
      <c r="K98" s="70">
        <v>96.925</v>
      </c>
    </row>
    <row r="99" spans="1:11" ht="12.75">
      <c r="A99" s="14">
        <v>97</v>
      </c>
      <c r="B99" s="1">
        <v>35528</v>
      </c>
      <c r="C99" s="33" t="s">
        <v>108</v>
      </c>
      <c r="E99" s="15" t="s">
        <v>8</v>
      </c>
      <c r="F99" s="1" t="s">
        <v>13</v>
      </c>
      <c r="G99" s="1" t="s">
        <v>15</v>
      </c>
      <c r="H99" s="18">
        <v>0.0005582175925925926</v>
      </c>
      <c r="I99" s="37">
        <v>0.0011457175925925927</v>
      </c>
      <c r="J99" s="37"/>
      <c r="K99" s="70">
        <v>97.725</v>
      </c>
    </row>
    <row r="100" spans="1:32" s="14" customFormat="1" ht="11.25">
      <c r="A100" s="14">
        <v>98</v>
      </c>
      <c r="B100" s="15">
        <v>35451</v>
      </c>
      <c r="C100" s="16" t="s">
        <v>109</v>
      </c>
      <c r="D100" s="15">
        <v>2</v>
      </c>
      <c r="E100" s="15" t="s">
        <v>8</v>
      </c>
      <c r="F100" s="15" t="s">
        <v>18</v>
      </c>
      <c r="G100" s="1" t="s">
        <v>15</v>
      </c>
      <c r="H100" s="18">
        <v>0.0005622685185185185</v>
      </c>
      <c r="I100" s="37">
        <v>0.0011542824074074075</v>
      </c>
      <c r="J100" s="37"/>
      <c r="K100" s="70">
        <v>98.445</v>
      </c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</row>
    <row r="101" spans="1:11" ht="12.75">
      <c r="A101" s="1">
        <v>99</v>
      </c>
      <c r="B101" s="1">
        <v>35565</v>
      </c>
      <c r="C101" s="33" t="s">
        <v>110</v>
      </c>
      <c r="D101" s="1">
        <v>1</v>
      </c>
      <c r="E101" s="1" t="s">
        <v>8</v>
      </c>
      <c r="F101" s="1" t="s">
        <v>53</v>
      </c>
      <c r="G101" s="1">
        <v>2</v>
      </c>
      <c r="H101" s="18">
        <v>0.0005621527777777778</v>
      </c>
      <c r="I101" s="37">
        <v>0.0011738425925925924</v>
      </c>
      <c r="J101" s="37"/>
      <c r="K101" s="70">
        <v>99.28</v>
      </c>
    </row>
    <row r="102" spans="1:11" ht="12.75">
      <c r="A102" s="14">
        <v>100</v>
      </c>
      <c r="B102" s="1">
        <v>35226</v>
      </c>
      <c r="C102" s="33" t="s">
        <v>112</v>
      </c>
      <c r="E102" s="15" t="s">
        <v>8</v>
      </c>
      <c r="F102" s="15" t="s">
        <v>25</v>
      </c>
      <c r="G102" s="1" t="s">
        <v>15</v>
      </c>
      <c r="H102" s="18">
        <v>0.000590162037037037</v>
      </c>
      <c r="I102" s="37">
        <v>0.0011355324074074074</v>
      </c>
      <c r="J102" s="37"/>
      <c r="K102" s="70">
        <v>100.045</v>
      </c>
    </row>
    <row r="103" spans="1:11" ht="12.75">
      <c r="A103" s="14">
        <v>101</v>
      </c>
      <c r="B103" s="1">
        <v>35575</v>
      </c>
      <c r="C103" s="33" t="s">
        <v>113</v>
      </c>
      <c r="D103" s="1" t="s">
        <v>100</v>
      </c>
      <c r="E103" s="1" t="s">
        <v>41</v>
      </c>
      <c r="F103" s="1" t="s">
        <v>114</v>
      </c>
      <c r="G103" s="1">
        <v>1</v>
      </c>
      <c r="H103" s="18">
        <v>0.0005648148148148148</v>
      </c>
      <c r="I103" s="37">
        <v>0.0012020833333333332</v>
      </c>
      <c r="J103" s="37"/>
      <c r="K103" s="70">
        <v>100.73</v>
      </c>
    </row>
    <row r="104" spans="1:11" ht="12.75">
      <c r="A104" s="1">
        <v>102</v>
      </c>
      <c r="B104" s="1">
        <v>35580</v>
      </c>
      <c r="C104" s="33" t="s">
        <v>115</v>
      </c>
      <c r="D104" s="1" t="s">
        <v>96</v>
      </c>
      <c r="E104" s="1" t="s">
        <v>41</v>
      </c>
      <c r="F104" s="1" t="s">
        <v>114</v>
      </c>
      <c r="G104" s="1">
        <v>1</v>
      </c>
      <c r="H104" s="18">
        <v>0.0005679398148148148</v>
      </c>
      <c r="I104" s="37">
        <v>0.001195949074074074</v>
      </c>
      <c r="J104" s="37"/>
      <c r="K104" s="70">
        <v>100.735</v>
      </c>
    </row>
    <row r="105" spans="1:11" ht="12.75">
      <c r="A105" s="14">
        <v>103</v>
      </c>
      <c r="B105" s="1">
        <v>35590</v>
      </c>
      <c r="C105" s="33" t="s">
        <v>116</v>
      </c>
      <c r="D105" s="1">
        <v>2</v>
      </c>
      <c r="E105" s="1" t="s">
        <v>8</v>
      </c>
      <c r="F105" s="1" t="s">
        <v>53</v>
      </c>
      <c r="G105" s="1">
        <v>2</v>
      </c>
      <c r="H105" s="18">
        <v>0.0005718749999999999</v>
      </c>
      <c r="I105" s="37">
        <v>0.0012037037037037038</v>
      </c>
      <c r="J105" s="37"/>
      <c r="K105" s="70">
        <v>101.41</v>
      </c>
    </row>
    <row r="106" spans="1:32" s="14" customFormat="1" ht="11.25">
      <c r="A106" s="14">
        <v>104</v>
      </c>
      <c r="B106" s="15">
        <v>35364</v>
      </c>
      <c r="C106" s="16" t="s">
        <v>117</v>
      </c>
      <c r="D106" s="15">
        <v>1</v>
      </c>
      <c r="E106" s="15" t="s">
        <v>8</v>
      </c>
      <c r="F106" s="15" t="s">
        <v>18</v>
      </c>
      <c r="G106" s="1" t="s">
        <v>15</v>
      </c>
      <c r="H106" s="18">
        <v>0.0005957175925925926</v>
      </c>
      <c r="I106" s="37">
        <v>0.0011849537037037037</v>
      </c>
      <c r="J106" s="37"/>
      <c r="K106" s="70">
        <v>102.66</v>
      </c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</row>
    <row r="107" spans="1:11" ht="12.75">
      <c r="A107" s="1">
        <v>105</v>
      </c>
      <c r="B107" s="1">
        <v>35593</v>
      </c>
      <c r="C107" s="53" t="s">
        <v>118</v>
      </c>
      <c r="D107" s="1" t="s">
        <v>96</v>
      </c>
      <c r="E107" s="1" t="s">
        <v>41</v>
      </c>
      <c r="F107" s="1" t="s">
        <v>97</v>
      </c>
      <c r="G107" s="1">
        <v>1</v>
      </c>
      <c r="H107" s="18">
        <v>0.0005827546296296297</v>
      </c>
      <c r="I107" s="37">
        <v>0.0012296296296296296</v>
      </c>
      <c r="J107" s="37"/>
      <c r="K107" s="70">
        <v>103.47</v>
      </c>
    </row>
    <row r="108" spans="1:11" ht="12.75">
      <c r="A108" s="14">
        <v>106</v>
      </c>
      <c r="B108" s="1">
        <v>35241</v>
      </c>
      <c r="C108" s="33" t="s">
        <v>119</v>
      </c>
      <c r="E108" s="15" t="s">
        <v>8</v>
      </c>
      <c r="F108" s="1" t="s">
        <v>120</v>
      </c>
      <c r="G108" s="1" t="s">
        <v>15</v>
      </c>
      <c r="H108" s="18">
        <v>0.0006082175925925926</v>
      </c>
      <c r="I108" s="37">
        <v>0.0011809027777777777</v>
      </c>
      <c r="J108" s="37"/>
      <c r="K108" s="70">
        <v>103.565</v>
      </c>
    </row>
    <row r="109" spans="1:11" ht="12.75">
      <c r="A109" s="14">
        <v>107</v>
      </c>
      <c r="B109" s="1">
        <v>35604</v>
      </c>
      <c r="C109" s="53" t="s">
        <v>122</v>
      </c>
      <c r="D109" s="1" t="s">
        <v>100</v>
      </c>
      <c r="E109" s="1" t="s">
        <v>41</v>
      </c>
      <c r="F109" s="1" t="s">
        <v>97</v>
      </c>
      <c r="G109" s="1">
        <v>1</v>
      </c>
      <c r="H109" s="18">
        <v>0.0005905092592592593</v>
      </c>
      <c r="I109" s="37">
        <v>0.0012327546296296297</v>
      </c>
      <c r="J109" s="37"/>
      <c r="K109" s="70">
        <v>104.275</v>
      </c>
    </row>
    <row r="110" spans="1:11" ht="12.75">
      <c r="A110" s="1">
        <v>108</v>
      </c>
      <c r="B110" s="67">
        <v>35333</v>
      </c>
      <c r="C110" s="68" t="s">
        <v>197</v>
      </c>
      <c r="E110" s="69" t="s">
        <v>8</v>
      </c>
      <c r="F110" s="69" t="s">
        <v>25</v>
      </c>
      <c r="G110" s="1" t="s">
        <v>15</v>
      </c>
      <c r="H110" s="18">
        <v>0.0006211805555555556</v>
      </c>
      <c r="I110" s="37">
        <v>0.0011796296296296296</v>
      </c>
      <c r="J110" s="37"/>
      <c r="K110" s="70">
        <v>104.63</v>
      </c>
    </row>
    <row r="111" spans="1:11" s="14" customFormat="1" ht="11.25">
      <c r="A111" s="14">
        <v>109</v>
      </c>
      <c r="B111" s="14">
        <v>35515</v>
      </c>
      <c r="C111" s="16" t="s">
        <v>123</v>
      </c>
      <c r="E111" s="14" t="s">
        <v>8</v>
      </c>
      <c r="F111" s="14" t="s">
        <v>25</v>
      </c>
      <c r="G111" s="1" t="s">
        <v>15</v>
      </c>
      <c r="H111" s="18">
        <v>0.0006019675925925926</v>
      </c>
      <c r="I111" s="37">
        <v>0.001252199074074074</v>
      </c>
      <c r="J111" s="37"/>
      <c r="K111" s="70">
        <v>106.105</v>
      </c>
    </row>
    <row r="112" spans="1:11" ht="12.75">
      <c r="A112" s="14">
        <v>110</v>
      </c>
      <c r="B112" s="1">
        <v>35616</v>
      </c>
      <c r="C112" s="33" t="s">
        <v>124</v>
      </c>
      <c r="D112" s="1" t="s">
        <v>96</v>
      </c>
      <c r="E112" s="1" t="s">
        <v>41</v>
      </c>
      <c r="F112" s="1" t="s">
        <v>97</v>
      </c>
      <c r="G112" s="1">
        <v>1</v>
      </c>
      <c r="H112" s="18">
        <v>0.0006114583333333333</v>
      </c>
      <c r="I112" s="37">
        <v>0.0012417824074074074</v>
      </c>
      <c r="J112" s="37"/>
      <c r="K112" s="70">
        <v>106.475</v>
      </c>
    </row>
    <row r="113" spans="1:11" ht="12.75">
      <c r="A113" s="1">
        <v>111</v>
      </c>
      <c r="B113" s="1">
        <v>35625</v>
      </c>
      <c r="C113" s="33" t="s">
        <v>125</v>
      </c>
      <c r="D113" s="1" t="s">
        <v>100</v>
      </c>
      <c r="E113" s="1" t="s">
        <v>8</v>
      </c>
      <c r="F113" s="1" t="s">
        <v>97</v>
      </c>
      <c r="G113" s="1">
        <v>2</v>
      </c>
      <c r="H113" s="18">
        <v>0.0006091435185185185</v>
      </c>
      <c r="I113" s="37">
        <v>0.001252199074074074</v>
      </c>
      <c r="J113" s="37"/>
      <c r="K113" s="70">
        <v>106.725</v>
      </c>
    </row>
    <row r="114" spans="1:11" ht="12.75">
      <c r="A114" s="14">
        <v>112</v>
      </c>
      <c r="B114" s="1">
        <v>35540</v>
      </c>
      <c r="C114" s="33" t="s">
        <v>127</v>
      </c>
      <c r="D114" s="1" t="s">
        <v>100</v>
      </c>
      <c r="E114" s="1" t="s">
        <v>8</v>
      </c>
      <c r="F114" s="1" t="s">
        <v>114</v>
      </c>
      <c r="G114" s="1">
        <v>1</v>
      </c>
      <c r="H114" s="18">
        <v>0.0005966435185185185</v>
      </c>
      <c r="I114" s="37">
        <v>0.0012859953703703705</v>
      </c>
      <c r="J114" s="37"/>
      <c r="K114" s="70">
        <v>107.105</v>
      </c>
    </row>
    <row r="115" spans="1:11" ht="12.75">
      <c r="A115" s="14">
        <v>113</v>
      </c>
      <c r="B115" s="67">
        <v>35063</v>
      </c>
      <c r="C115" s="68" t="s">
        <v>198</v>
      </c>
      <c r="E115" s="69" t="s">
        <v>41</v>
      </c>
      <c r="F115" s="69" t="s">
        <v>11</v>
      </c>
      <c r="G115" s="1" t="s">
        <v>15</v>
      </c>
      <c r="H115" s="18">
        <v>0.00060625</v>
      </c>
      <c r="I115" s="37">
        <v>0.0012722222222222223</v>
      </c>
      <c r="J115" s="37"/>
      <c r="K115" s="70">
        <v>107.34</v>
      </c>
    </row>
    <row r="116" spans="1:32" s="14" customFormat="1" ht="11.25">
      <c r="A116" s="1">
        <v>114</v>
      </c>
      <c r="B116" s="15">
        <v>35457</v>
      </c>
      <c r="C116" s="16" t="s">
        <v>129</v>
      </c>
      <c r="D116" s="15">
        <v>2</v>
      </c>
      <c r="E116" s="15" t="s">
        <v>41</v>
      </c>
      <c r="F116" s="15" t="s">
        <v>53</v>
      </c>
      <c r="G116" s="1" t="s">
        <v>15</v>
      </c>
      <c r="H116" s="18">
        <v>0.0006167824074074074</v>
      </c>
      <c r="I116" s="37">
        <v>0.0012618055555555557</v>
      </c>
      <c r="J116" s="37"/>
      <c r="K116" s="70">
        <v>107.8</v>
      </c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</row>
    <row r="117" spans="1:11" ht="12.75">
      <c r="A117" s="14">
        <v>115</v>
      </c>
      <c r="B117" s="1">
        <v>35234</v>
      </c>
      <c r="C117" s="33" t="s">
        <v>133</v>
      </c>
      <c r="D117" s="1">
        <v>2</v>
      </c>
      <c r="E117" s="15" t="s">
        <v>41</v>
      </c>
      <c r="F117" s="1" t="s">
        <v>9</v>
      </c>
      <c r="G117" s="1" t="s">
        <v>15</v>
      </c>
      <c r="H117" s="18">
        <v>0.0006197916666666666</v>
      </c>
      <c r="I117" s="37">
        <v>0.0012868055555555556</v>
      </c>
      <c r="J117" s="37"/>
      <c r="K117" s="70">
        <v>109.14</v>
      </c>
    </row>
    <row r="118" spans="1:11" ht="12.75">
      <c r="A118" s="14">
        <v>116</v>
      </c>
      <c r="B118" s="67">
        <v>35332</v>
      </c>
      <c r="C118" s="68" t="s">
        <v>199</v>
      </c>
      <c r="E118" s="69" t="s">
        <v>8</v>
      </c>
      <c r="F118" s="69" t="s">
        <v>25</v>
      </c>
      <c r="G118" s="1" t="s">
        <v>15</v>
      </c>
      <c r="H118" s="18">
        <v>0.0006320601851851853</v>
      </c>
      <c r="I118" s="37">
        <v>0.0012655092592592594</v>
      </c>
      <c r="J118" s="37"/>
      <c r="K118" s="70">
        <v>109.28</v>
      </c>
    </row>
    <row r="119" spans="1:11" ht="12.75">
      <c r="A119" s="1">
        <v>117</v>
      </c>
      <c r="B119" s="67">
        <v>35071</v>
      </c>
      <c r="C119" s="68" t="s">
        <v>200</v>
      </c>
      <c r="E119" s="69" t="s">
        <v>8</v>
      </c>
      <c r="F119" s="69" t="s">
        <v>25</v>
      </c>
      <c r="G119" s="1" t="s">
        <v>15</v>
      </c>
      <c r="H119" s="18">
        <v>0.0006232638888888889</v>
      </c>
      <c r="I119" s="37"/>
      <c r="J119" s="37">
        <v>0.0019371527777777779</v>
      </c>
      <c r="K119" s="70">
        <v>109.64</v>
      </c>
    </row>
    <row r="120" spans="1:11" ht="12.75">
      <c r="A120" s="14">
        <v>118</v>
      </c>
      <c r="B120" s="67">
        <v>35447</v>
      </c>
      <c r="C120" s="68" t="s">
        <v>201</v>
      </c>
      <c r="E120" s="69" t="s">
        <v>8</v>
      </c>
      <c r="F120" s="69" t="s">
        <v>13</v>
      </c>
      <c r="G120" s="1" t="s">
        <v>15</v>
      </c>
      <c r="H120" s="18">
        <v>0.0006430555555555556</v>
      </c>
      <c r="I120" s="37">
        <v>0.0012570601851851853</v>
      </c>
      <c r="J120" s="37"/>
      <c r="K120" s="70">
        <v>109.865</v>
      </c>
    </row>
    <row r="121" spans="1:11" ht="12.75">
      <c r="A121" s="14">
        <v>119</v>
      </c>
      <c r="B121" s="1">
        <v>35633</v>
      </c>
      <c r="C121" s="62" t="s">
        <v>135</v>
      </c>
      <c r="D121" s="1" t="s">
        <v>96</v>
      </c>
      <c r="E121" s="1" t="s">
        <v>8</v>
      </c>
      <c r="F121" s="1" t="s">
        <v>97</v>
      </c>
      <c r="G121" s="1">
        <v>2</v>
      </c>
      <c r="H121" s="18">
        <v>0.0006383101851851852</v>
      </c>
      <c r="I121" s="37">
        <v>0.001274074074074074</v>
      </c>
      <c r="J121" s="37"/>
      <c r="K121" s="70">
        <v>110.19</v>
      </c>
    </row>
    <row r="122" spans="1:11" ht="12.75">
      <c r="A122" s="1">
        <v>120</v>
      </c>
      <c r="B122" s="1">
        <v>35487</v>
      </c>
      <c r="C122" s="33" t="s">
        <v>136</v>
      </c>
      <c r="E122" s="15" t="s">
        <v>8</v>
      </c>
      <c r="F122" s="15" t="s">
        <v>25</v>
      </c>
      <c r="G122" s="1" t="s">
        <v>15</v>
      </c>
      <c r="H122" s="18">
        <v>0.0006336805555555555</v>
      </c>
      <c r="I122" s="37">
        <v>0.0012864583333333332</v>
      </c>
      <c r="J122" s="37"/>
      <c r="K122" s="70">
        <v>110.325</v>
      </c>
    </row>
    <row r="123" spans="1:11" ht="12.75">
      <c r="A123" s="14">
        <v>121</v>
      </c>
      <c r="B123" s="1">
        <v>35615</v>
      </c>
      <c r="C123" s="33" t="s">
        <v>137</v>
      </c>
      <c r="D123" s="1" t="s">
        <v>169</v>
      </c>
      <c r="E123" s="1" t="s">
        <v>41</v>
      </c>
      <c r="F123" s="1" t="s">
        <v>97</v>
      </c>
      <c r="G123" s="1">
        <v>1</v>
      </c>
      <c r="H123" s="18">
        <v>0.0006203703703703704</v>
      </c>
      <c r="I123" s="37">
        <v>0.0013342592592592592</v>
      </c>
      <c r="J123" s="37"/>
      <c r="K123" s="70">
        <v>111.24</v>
      </c>
    </row>
    <row r="124" spans="1:11" ht="12.75">
      <c r="A124" s="14">
        <v>122</v>
      </c>
      <c r="B124" s="1">
        <v>35114</v>
      </c>
      <c r="C124" s="71" t="s">
        <v>202</v>
      </c>
      <c r="E124" s="69" t="s">
        <v>8</v>
      </c>
      <c r="F124" s="69" t="s">
        <v>25</v>
      </c>
      <c r="G124" s="1" t="s">
        <v>15</v>
      </c>
      <c r="H124" s="18">
        <v>0.0006469907407407407</v>
      </c>
      <c r="I124" s="37">
        <v>0.0012818287037037036</v>
      </c>
      <c r="J124" s="49"/>
      <c r="K124" s="70">
        <v>111.275</v>
      </c>
    </row>
    <row r="125" spans="1:11" ht="12.75">
      <c r="A125" s="1">
        <v>123</v>
      </c>
      <c r="B125" s="67">
        <v>35470</v>
      </c>
      <c r="C125" s="68" t="s">
        <v>203</v>
      </c>
      <c r="E125" s="69" t="s">
        <v>8</v>
      </c>
      <c r="F125" s="69" t="s">
        <v>25</v>
      </c>
      <c r="G125" s="1" t="s">
        <v>15</v>
      </c>
      <c r="H125" s="18">
        <v>0.0006418981481481482</v>
      </c>
      <c r="I125" s="37">
        <v>0.0013162037037037038</v>
      </c>
      <c r="J125" s="49"/>
      <c r="K125" s="70">
        <v>112.32</v>
      </c>
    </row>
    <row r="126" spans="1:11" ht="12.75">
      <c r="A126" s="14">
        <v>124</v>
      </c>
      <c r="B126" s="1">
        <v>35591</v>
      </c>
      <c r="C126" s="53" t="s">
        <v>138</v>
      </c>
      <c r="D126" s="1">
        <v>1</v>
      </c>
      <c r="E126" s="1" t="s">
        <v>8</v>
      </c>
      <c r="F126" s="1" t="s">
        <v>53</v>
      </c>
      <c r="G126" s="1">
        <v>4</v>
      </c>
      <c r="H126" s="18">
        <v>0.0006407407407407407</v>
      </c>
      <c r="I126" s="37">
        <v>0.0013255787037037038</v>
      </c>
      <c r="J126" s="37"/>
      <c r="K126" s="70">
        <v>112.625</v>
      </c>
    </row>
    <row r="127" spans="1:11" ht="12.75">
      <c r="A127" s="14">
        <v>125</v>
      </c>
      <c r="B127" s="1">
        <v>35549</v>
      </c>
      <c r="C127" s="33" t="s">
        <v>139</v>
      </c>
      <c r="E127" s="15" t="s">
        <v>8</v>
      </c>
      <c r="F127" s="1" t="s">
        <v>140</v>
      </c>
      <c r="G127" s="1" t="s">
        <v>15</v>
      </c>
      <c r="H127" s="18">
        <v>0.000617013888888889</v>
      </c>
      <c r="I127" s="37">
        <v>0.0013776620370370368</v>
      </c>
      <c r="J127" s="37"/>
      <c r="K127" s="70">
        <v>112.825</v>
      </c>
    </row>
    <row r="128" spans="1:11" ht="12.75">
      <c r="A128" s="1">
        <v>126</v>
      </c>
      <c r="B128" s="1">
        <v>35568</v>
      </c>
      <c r="C128" s="33" t="s">
        <v>147</v>
      </c>
      <c r="D128" s="1">
        <v>1</v>
      </c>
      <c r="E128" s="1" t="s">
        <v>41</v>
      </c>
      <c r="F128" s="15" t="s">
        <v>28</v>
      </c>
      <c r="G128" s="1" t="s">
        <v>15</v>
      </c>
      <c r="H128" s="18">
        <v>0.0006031249999999999</v>
      </c>
      <c r="I128" s="37">
        <v>0.001436689814814815</v>
      </c>
      <c r="J128" s="37"/>
      <c r="K128" s="70">
        <v>114.175</v>
      </c>
    </row>
    <row r="129" spans="1:11" ht="12.75">
      <c r="A129" s="14">
        <v>127</v>
      </c>
      <c r="B129" s="1">
        <v>35600</v>
      </c>
      <c r="C129" s="33" t="s">
        <v>141</v>
      </c>
      <c r="D129" s="1">
        <v>1</v>
      </c>
      <c r="E129" s="1" t="s">
        <v>41</v>
      </c>
      <c r="F129" s="1" t="s">
        <v>53</v>
      </c>
      <c r="G129" s="1">
        <v>3</v>
      </c>
      <c r="H129" s="18">
        <v>0.0006479166666666666</v>
      </c>
      <c r="I129" s="37">
        <v>0.0013506944444444445</v>
      </c>
      <c r="J129" s="37"/>
      <c r="K129" s="70">
        <v>114.33</v>
      </c>
    </row>
    <row r="130" spans="1:11" ht="12.75">
      <c r="A130" s="14">
        <v>128</v>
      </c>
      <c r="B130" s="1">
        <v>35585</v>
      </c>
      <c r="C130" s="53" t="s">
        <v>142</v>
      </c>
      <c r="D130" s="1" t="s">
        <v>100</v>
      </c>
      <c r="E130" s="1" t="s">
        <v>41</v>
      </c>
      <c r="F130" s="1" t="s">
        <v>97</v>
      </c>
      <c r="G130" s="1">
        <v>2</v>
      </c>
      <c r="H130" s="18">
        <v>0.0006516203703703702</v>
      </c>
      <c r="I130" s="37">
        <v>0.0013586805555555557</v>
      </c>
      <c r="J130" s="37"/>
      <c r="K130" s="70">
        <v>114.995</v>
      </c>
    </row>
    <row r="131" spans="1:11" ht="12.75">
      <c r="A131" s="1">
        <v>129</v>
      </c>
      <c r="B131" s="1">
        <v>35624</v>
      </c>
      <c r="C131" s="33" t="s">
        <v>143</v>
      </c>
      <c r="D131" s="1" t="s">
        <v>100</v>
      </c>
      <c r="E131" s="1" t="s">
        <v>8</v>
      </c>
      <c r="F131" s="1" t="s">
        <v>97</v>
      </c>
      <c r="G131" s="1">
        <v>2</v>
      </c>
      <c r="H131" s="18">
        <v>0.0006388888888888889</v>
      </c>
      <c r="I131" s="37">
        <v>0.0013887731481481483</v>
      </c>
      <c r="J131" s="37"/>
      <c r="K131" s="70">
        <v>115.195</v>
      </c>
    </row>
    <row r="132" spans="1:11" ht="12.75">
      <c r="A132" s="14">
        <v>130</v>
      </c>
      <c r="B132" s="1">
        <v>35620</v>
      </c>
      <c r="C132" s="33" t="s">
        <v>144</v>
      </c>
      <c r="D132" s="1" t="s">
        <v>96</v>
      </c>
      <c r="E132" s="1" t="s">
        <v>41</v>
      </c>
      <c r="F132" s="1" t="s">
        <v>97</v>
      </c>
      <c r="G132" s="1">
        <v>2</v>
      </c>
      <c r="H132" s="18">
        <v>0.0006527777777777777</v>
      </c>
      <c r="I132" s="37">
        <v>0.0013613425925925926</v>
      </c>
      <c r="J132" s="37"/>
      <c r="K132" s="70">
        <v>115.21</v>
      </c>
    </row>
    <row r="133" spans="1:11" ht="12.75">
      <c r="A133" s="14">
        <v>131</v>
      </c>
      <c r="B133" s="1">
        <v>35631</v>
      </c>
      <c r="C133" s="33" t="s">
        <v>145</v>
      </c>
      <c r="D133" s="1" t="s">
        <v>96</v>
      </c>
      <c r="E133" s="1" t="s">
        <v>41</v>
      </c>
      <c r="F133" s="1" t="s">
        <v>97</v>
      </c>
      <c r="G133" s="1">
        <v>2</v>
      </c>
      <c r="H133" s="18">
        <v>0.0006454861111111112</v>
      </c>
      <c r="I133" s="37">
        <v>0.0013763888888888888</v>
      </c>
      <c r="J133" s="37"/>
      <c r="K133" s="70">
        <v>115.23</v>
      </c>
    </row>
    <row r="134" spans="1:11" ht="12.75">
      <c r="A134" s="1">
        <v>132</v>
      </c>
      <c r="B134" s="1">
        <v>35587</v>
      </c>
      <c r="C134" s="53" t="s">
        <v>148</v>
      </c>
      <c r="D134" s="1" t="s">
        <v>96</v>
      </c>
      <c r="E134" s="1" t="s">
        <v>8</v>
      </c>
      <c r="F134" s="1" t="s">
        <v>97</v>
      </c>
      <c r="G134" s="1">
        <v>3</v>
      </c>
      <c r="H134" s="18">
        <v>0.0006503472222222222</v>
      </c>
      <c r="I134" s="37">
        <v>0.0014091435185185186</v>
      </c>
      <c r="J134" s="37"/>
      <c r="K134" s="70">
        <v>117.065</v>
      </c>
    </row>
    <row r="135" spans="1:11" ht="12.75">
      <c r="A135" s="14">
        <v>133</v>
      </c>
      <c r="B135" s="1">
        <v>35592</v>
      </c>
      <c r="C135" s="33" t="s">
        <v>146</v>
      </c>
      <c r="E135" s="1" t="s">
        <v>8</v>
      </c>
      <c r="F135" s="1" t="s">
        <v>25</v>
      </c>
      <c r="G135" s="1" t="s">
        <v>15</v>
      </c>
      <c r="H135" s="18">
        <v>0.0006634259259259259</v>
      </c>
      <c r="I135" s="37">
        <v>0.0013875</v>
      </c>
      <c r="J135" s="37"/>
      <c r="K135" s="70">
        <v>117.26</v>
      </c>
    </row>
    <row r="136" spans="1:11" ht="12.75">
      <c r="A136" s="14">
        <v>134</v>
      </c>
      <c r="B136" s="1">
        <v>35409</v>
      </c>
      <c r="C136" s="33" t="s">
        <v>149</v>
      </c>
      <c r="E136" s="15" t="s">
        <v>8</v>
      </c>
      <c r="F136" s="1" t="s">
        <v>25</v>
      </c>
      <c r="G136" s="1" t="s">
        <v>15</v>
      </c>
      <c r="H136" s="37">
        <v>0.0006958333333333334</v>
      </c>
      <c r="I136" s="37">
        <v>0.0013685185185185187</v>
      </c>
      <c r="J136" s="37"/>
      <c r="K136" s="70">
        <v>119.74</v>
      </c>
    </row>
    <row r="137" spans="1:11" ht="12.75">
      <c r="A137" s="1">
        <v>135</v>
      </c>
      <c r="B137" s="1">
        <v>35208</v>
      </c>
      <c r="C137" s="33" t="s">
        <v>150</v>
      </c>
      <c r="E137" s="15" t="s">
        <v>8</v>
      </c>
      <c r="F137" s="1" t="s">
        <v>25</v>
      </c>
      <c r="G137" s="1" t="s">
        <v>15</v>
      </c>
      <c r="H137" s="37">
        <v>0.0007006944444444443</v>
      </c>
      <c r="I137" s="37">
        <v>0.0013780092592592592</v>
      </c>
      <c r="J137" s="37"/>
      <c r="K137" s="70">
        <v>120.07</v>
      </c>
    </row>
    <row r="138" spans="1:11" ht="12.75">
      <c r="A138" s="14">
        <v>136</v>
      </c>
      <c r="B138" s="1">
        <v>35617</v>
      </c>
      <c r="C138" s="33" t="s">
        <v>94</v>
      </c>
      <c r="D138" s="1">
        <v>1</v>
      </c>
      <c r="E138" s="1" t="s">
        <v>8</v>
      </c>
      <c r="F138" s="1" t="s">
        <v>53</v>
      </c>
      <c r="G138" s="1">
        <v>4</v>
      </c>
      <c r="H138" s="18">
        <v>0.0006756944444444445</v>
      </c>
      <c r="I138" s="37">
        <v>0.0014288194444444446</v>
      </c>
      <c r="J138" s="37"/>
      <c r="K138" s="70">
        <v>120.105</v>
      </c>
    </row>
    <row r="139" spans="1:11" ht="12.75">
      <c r="A139" s="14">
        <v>137</v>
      </c>
      <c r="B139" s="1">
        <v>35373</v>
      </c>
      <c r="C139" s="33" t="s">
        <v>153</v>
      </c>
      <c r="E139" s="1" t="s">
        <v>8</v>
      </c>
      <c r="F139" s="1" t="s">
        <v>25</v>
      </c>
      <c r="G139" s="1" t="s">
        <v>15</v>
      </c>
      <c r="H139" s="37">
        <v>0.0006978009259259259</v>
      </c>
      <c r="I139" s="37">
        <v>0.0013979166666666664</v>
      </c>
      <c r="J139" s="37"/>
      <c r="K139" s="70">
        <v>120.68</v>
      </c>
    </row>
    <row r="140" spans="1:11" ht="12.75">
      <c r="A140" s="1">
        <v>138</v>
      </c>
      <c r="B140" s="1">
        <v>35609</v>
      </c>
      <c r="C140" s="33" t="s">
        <v>95</v>
      </c>
      <c r="D140" s="1" t="s">
        <v>100</v>
      </c>
      <c r="E140" s="1" t="s">
        <v>41</v>
      </c>
      <c r="F140" s="1" t="s">
        <v>97</v>
      </c>
      <c r="G140" s="1">
        <v>3</v>
      </c>
      <c r="H140" s="18">
        <v>0.0006702546296296296</v>
      </c>
      <c r="I140" s="37">
        <v>0.0014630787037037036</v>
      </c>
      <c r="J140" s="37"/>
      <c r="K140" s="70">
        <v>121.115</v>
      </c>
    </row>
    <row r="141" spans="1:11" ht="12.75">
      <c r="A141" s="14">
        <v>139</v>
      </c>
      <c r="B141" s="1">
        <v>35627</v>
      </c>
      <c r="C141" s="33" t="s">
        <v>98</v>
      </c>
      <c r="D141" s="1" t="s">
        <v>100</v>
      </c>
      <c r="E141" s="1" t="s">
        <v>8</v>
      </c>
      <c r="F141" s="1" t="s">
        <v>97</v>
      </c>
      <c r="G141" s="1">
        <v>3</v>
      </c>
      <c r="H141" s="18">
        <v>0.0006648148148148147</v>
      </c>
      <c r="I141" s="37">
        <v>0.001483101851851852</v>
      </c>
      <c r="J141" s="37"/>
      <c r="K141" s="70">
        <v>121.51</v>
      </c>
    </row>
    <row r="142" spans="1:11" ht="12.75">
      <c r="A142" s="14">
        <v>140</v>
      </c>
      <c r="B142" s="1">
        <v>35618</v>
      </c>
      <c r="C142" s="33" t="s">
        <v>99</v>
      </c>
      <c r="D142" s="1" t="s">
        <v>169</v>
      </c>
      <c r="E142" s="1" t="s">
        <v>41</v>
      </c>
      <c r="F142" s="1" t="s">
        <v>97</v>
      </c>
      <c r="G142" s="1">
        <v>3</v>
      </c>
      <c r="H142" s="18">
        <v>0.0006777777777777779</v>
      </c>
      <c r="I142" s="37">
        <v>0.0014738425925925926</v>
      </c>
      <c r="J142" s="37"/>
      <c r="K142" s="70">
        <v>122.23</v>
      </c>
    </row>
    <row r="143" spans="1:11" ht="12.75">
      <c r="A143" s="1">
        <v>141</v>
      </c>
      <c r="B143" s="1">
        <v>35622</v>
      </c>
      <c r="C143" s="33" t="s">
        <v>126</v>
      </c>
      <c r="D143" s="1" t="s">
        <v>96</v>
      </c>
      <c r="E143" s="1" t="s">
        <v>8</v>
      </c>
      <c r="F143" s="1" t="s">
        <v>97</v>
      </c>
      <c r="G143" s="1">
        <v>4</v>
      </c>
      <c r="H143" s="37">
        <v>0.0007086805555555556</v>
      </c>
      <c r="I143" s="37">
        <v>0.0015177083333333336</v>
      </c>
      <c r="J143" s="37"/>
      <c r="K143" s="70">
        <v>126.795</v>
      </c>
    </row>
    <row r="144" spans="1:11" ht="12.75">
      <c r="A144" s="14">
        <v>142</v>
      </c>
      <c r="B144" s="1">
        <v>35453</v>
      </c>
      <c r="C144" s="33" t="s">
        <v>154</v>
      </c>
      <c r="E144" s="15" t="s">
        <v>8</v>
      </c>
      <c r="F144" s="15" t="s">
        <v>25</v>
      </c>
      <c r="G144" s="1" t="s">
        <v>15</v>
      </c>
      <c r="H144" s="37">
        <v>0.000701736111111111</v>
      </c>
      <c r="I144" s="37">
        <v>0.001541087962962963</v>
      </c>
      <c r="J144" s="37"/>
      <c r="K144" s="70">
        <v>127.205</v>
      </c>
    </row>
    <row r="145" spans="1:11" ht="12.75">
      <c r="A145" s="14">
        <v>143</v>
      </c>
      <c r="B145" s="1">
        <v>35535</v>
      </c>
      <c r="C145" s="33" t="s">
        <v>155</v>
      </c>
      <c r="E145" s="1" t="s">
        <v>156</v>
      </c>
      <c r="F145" s="1" t="s">
        <v>25</v>
      </c>
      <c r="G145" s="1" t="s">
        <v>15</v>
      </c>
      <c r="H145" s="37">
        <v>0.0007512731481481482</v>
      </c>
      <c r="I145" s="37">
        <v>0.0014449074074074076</v>
      </c>
      <c r="J145" s="37"/>
      <c r="K145" s="70">
        <v>127.33</v>
      </c>
    </row>
    <row r="146" spans="1:11" ht="12.75">
      <c r="A146" s="1">
        <v>144</v>
      </c>
      <c r="B146" s="1">
        <v>35483</v>
      </c>
      <c r="C146" s="33" t="s">
        <v>128</v>
      </c>
      <c r="E146" s="15" t="s">
        <v>8</v>
      </c>
      <c r="F146" s="15" t="s">
        <v>25</v>
      </c>
      <c r="G146" s="1" t="s">
        <v>15</v>
      </c>
      <c r="H146" s="37">
        <v>0.0007142361111111111</v>
      </c>
      <c r="I146" s="37">
        <v>0.0015201388888888888</v>
      </c>
      <c r="J146" s="37"/>
      <c r="K146" s="70">
        <v>127.38</v>
      </c>
    </row>
    <row r="147" spans="1:11" ht="12.75">
      <c r="A147" s="14">
        <v>145</v>
      </c>
      <c r="B147" s="1">
        <v>35613</v>
      </c>
      <c r="C147" s="33" t="s">
        <v>130</v>
      </c>
      <c r="D147" s="1" t="s">
        <v>169</v>
      </c>
      <c r="E147" s="1" t="s">
        <v>41</v>
      </c>
      <c r="F147" s="1" t="s">
        <v>97</v>
      </c>
      <c r="G147" s="1">
        <v>3</v>
      </c>
      <c r="H147" s="37">
        <v>0.0007098379629629629</v>
      </c>
      <c r="I147" s="37">
        <v>0.0015422453703703703</v>
      </c>
      <c r="J147" s="37"/>
      <c r="K147" s="70">
        <v>127.955</v>
      </c>
    </row>
    <row r="148" spans="1:11" ht="12.75">
      <c r="A148" s="14">
        <v>146</v>
      </c>
      <c r="B148" s="1">
        <v>35626</v>
      </c>
      <c r="C148" s="33" t="s">
        <v>132</v>
      </c>
      <c r="D148" s="1" t="s">
        <v>100</v>
      </c>
      <c r="E148" s="1" t="s">
        <v>41</v>
      </c>
      <c r="F148" s="1" t="s">
        <v>97</v>
      </c>
      <c r="G148" s="1">
        <v>3</v>
      </c>
      <c r="H148" s="37">
        <v>0.0007092592592592593</v>
      </c>
      <c r="I148" s="37">
        <v>0.0015471064814814816</v>
      </c>
      <c r="J148" s="37"/>
      <c r="K148" s="70">
        <v>128.115</v>
      </c>
    </row>
    <row r="149" spans="1:11" ht="12.75">
      <c r="A149" s="1">
        <v>147</v>
      </c>
      <c r="B149" s="67">
        <v>35294</v>
      </c>
      <c r="C149" s="68" t="s">
        <v>204</v>
      </c>
      <c r="E149" s="69" t="s">
        <v>41</v>
      </c>
      <c r="F149" s="69" t="s">
        <v>9</v>
      </c>
      <c r="G149" s="1" t="s">
        <v>15</v>
      </c>
      <c r="H149" s="37">
        <v>0.0007153935185185185</v>
      </c>
      <c r="I149" s="37">
        <v>0.0015668981481481482</v>
      </c>
      <c r="J149" s="37"/>
      <c r="K149" s="70">
        <v>129.5</v>
      </c>
    </row>
    <row r="150" spans="1:11" ht="12.75">
      <c r="A150" s="14">
        <v>148</v>
      </c>
      <c r="B150" s="67">
        <v>35178</v>
      </c>
      <c r="C150" s="68" t="s">
        <v>205</v>
      </c>
      <c r="E150" s="69" t="s">
        <v>8</v>
      </c>
      <c r="F150" s="69" t="s">
        <v>25</v>
      </c>
      <c r="G150" s="1" t="s">
        <v>15</v>
      </c>
      <c r="H150" s="37">
        <v>0.000753587962962963</v>
      </c>
      <c r="I150" s="37">
        <v>0.0015423611111111113</v>
      </c>
      <c r="J150" s="49"/>
      <c r="K150" s="70">
        <v>131.74</v>
      </c>
    </row>
    <row r="151" spans="1:11" ht="12.75">
      <c r="A151" s="14">
        <v>149</v>
      </c>
      <c r="B151" s="67">
        <v>35222</v>
      </c>
      <c r="C151" s="68" t="s">
        <v>206</v>
      </c>
      <c r="E151" s="69" t="s">
        <v>41</v>
      </c>
      <c r="F151" s="69" t="s">
        <v>25</v>
      </c>
      <c r="G151" s="1" t="s">
        <v>15</v>
      </c>
      <c r="H151" s="37">
        <v>0.0007725694444444445</v>
      </c>
      <c r="I151" s="37">
        <v>0.0016424768518518518</v>
      </c>
      <c r="J151" s="49"/>
      <c r="K151" s="70">
        <v>137.705</v>
      </c>
    </row>
    <row r="152" spans="1:11" ht="12.75">
      <c r="A152" s="1">
        <v>150</v>
      </c>
      <c r="B152" s="1">
        <v>35598</v>
      </c>
      <c r="C152" s="53" t="s">
        <v>157</v>
      </c>
      <c r="D152" s="1">
        <v>1</v>
      </c>
      <c r="E152" s="1" t="s">
        <v>41</v>
      </c>
      <c r="F152" s="1" t="s">
        <v>53</v>
      </c>
      <c r="G152" s="1">
        <v>4</v>
      </c>
      <c r="H152" s="37">
        <v>0.0007918981481481482</v>
      </c>
      <c r="I152" s="37"/>
      <c r="J152" s="37">
        <v>0.002408912037037037</v>
      </c>
      <c r="K152" s="70">
        <v>137.797</v>
      </c>
    </row>
    <row r="153" spans="1:11" ht="12.75">
      <c r="A153" s="14">
        <v>151</v>
      </c>
      <c r="B153" s="67">
        <v>35081</v>
      </c>
      <c r="C153" s="68" t="s">
        <v>207</v>
      </c>
      <c r="E153" s="69" t="s">
        <v>41</v>
      </c>
      <c r="F153" s="69" t="s">
        <v>13</v>
      </c>
      <c r="G153" s="1" t="s">
        <v>15</v>
      </c>
      <c r="H153" s="37">
        <v>0.0007799768518518519</v>
      </c>
      <c r="I153" s="37">
        <v>0.0016391203703703704</v>
      </c>
      <c r="J153" s="37"/>
      <c r="K153" s="70">
        <v>138.2</v>
      </c>
    </row>
    <row r="154" spans="1:11" ht="12.75">
      <c r="A154" s="14">
        <v>152</v>
      </c>
      <c r="B154" s="67">
        <v>35281</v>
      </c>
      <c r="C154" s="68" t="s">
        <v>208</v>
      </c>
      <c r="E154" s="69" t="s">
        <v>41</v>
      </c>
      <c r="F154" s="69" t="s">
        <v>9</v>
      </c>
      <c r="G154" s="1" t="s">
        <v>15</v>
      </c>
      <c r="H154" s="37">
        <v>0.0007969907407407408</v>
      </c>
      <c r="I154" s="37">
        <v>0.001711574074074074</v>
      </c>
      <c r="J154" s="37"/>
      <c r="K154" s="70">
        <v>142.8</v>
      </c>
    </row>
    <row r="155" spans="1:11" ht="12.75">
      <c r="A155" s="1">
        <v>153</v>
      </c>
      <c r="B155" s="67">
        <v>35296</v>
      </c>
      <c r="C155" s="68" t="s">
        <v>209</v>
      </c>
      <c r="E155" s="69" t="s">
        <v>41</v>
      </c>
      <c r="F155" s="69" t="s">
        <v>25</v>
      </c>
      <c r="G155" s="1" t="s">
        <v>15</v>
      </c>
      <c r="H155" s="37">
        <v>0.0008030092592592594</v>
      </c>
      <c r="I155" s="37">
        <v>0.001807407407407407</v>
      </c>
      <c r="J155" s="49"/>
      <c r="K155" s="70">
        <v>147.46</v>
      </c>
    </row>
    <row r="156" spans="1:11" ht="12.75">
      <c r="A156" s="14">
        <v>154</v>
      </c>
      <c r="B156" s="1">
        <v>35577</v>
      </c>
      <c r="C156" s="33" t="s">
        <v>158</v>
      </c>
      <c r="E156" s="1" t="s">
        <v>8</v>
      </c>
      <c r="F156" s="1" t="s">
        <v>25</v>
      </c>
      <c r="G156" s="1" t="s">
        <v>15</v>
      </c>
      <c r="H156" s="37">
        <v>0.0008778935185185184</v>
      </c>
      <c r="I156" s="37">
        <v>0.001792361111111111</v>
      </c>
      <c r="J156" s="37"/>
      <c r="K156" s="70">
        <v>153.28</v>
      </c>
    </row>
    <row r="157" spans="1:11" ht="12.75">
      <c r="A157" s="14">
        <v>155</v>
      </c>
      <c r="B157" s="1">
        <v>35594</v>
      </c>
      <c r="C157" s="53" t="s">
        <v>151</v>
      </c>
      <c r="D157" s="1" t="s">
        <v>96</v>
      </c>
      <c r="E157" s="1" t="s">
        <v>41</v>
      </c>
      <c r="F157" s="1" t="s">
        <v>97</v>
      </c>
      <c r="G157" s="1">
        <v>3</v>
      </c>
      <c r="H157" s="18">
        <v>0.0006840277777777778</v>
      </c>
      <c r="I157" s="37">
        <v>0.0014550925925925927</v>
      </c>
      <c r="J157" s="37"/>
      <c r="K157" s="70">
        <v>161.96</v>
      </c>
    </row>
    <row r="158" spans="1:11" ht="12.75">
      <c r="A158" s="1">
        <v>156</v>
      </c>
      <c r="B158" s="1">
        <v>35621</v>
      </c>
      <c r="C158" s="33" t="s">
        <v>161</v>
      </c>
      <c r="D158" s="1" t="s">
        <v>100</v>
      </c>
      <c r="E158" s="1" t="s">
        <v>41</v>
      </c>
      <c r="F158" s="1" t="s">
        <v>97</v>
      </c>
      <c r="G158" s="1">
        <v>4</v>
      </c>
      <c r="H158" s="37">
        <v>0.0007737268518518519</v>
      </c>
      <c r="I158" s="37"/>
      <c r="J158" s="37"/>
      <c r="K158" s="70">
        <v>106.85</v>
      </c>
    </row>
    <row r="159" spans="1:11" ht="12.75">
      <c r="A159" s="14">
        <v>157</v>
      </c>
      <c r="C159" s="16" t="s">
        <v>162</v>
      </c>
      <c r="D159" s="15" t="s">
        <v>169</v>
      </c>
      <c r="E159" s="15" t="s">
        <v>8</v>
      </c>
      <c r="F159" s="15" t="s">
        <v>114</v>
      </c>
      <c r="G159" s="15" t="s">
        <v>163</v>
      </c>
      <c r="H159" s="27">
        <v>0.0008386574074074074</v>
      </c>
      <c r="I159" s="27"/>
      <c r="J159" s="27"/>
      <c r="K159" s="22">
        <v>112.46</v>
      </c>
    </row>
    <row r="160" spans="1:11" ht="12.75">
      <c r="A160" s="14">
        <v>158</v>
      </c>
      <c r="C160" s="16" t="s">
        <v>164</v>
      </c>
      <c r="D160" s="15" t="s">
        <v>169</v>
      </c>
      <c r="E160" s="15" t="s">
        <v>8</v>
      </c>
      <c r="F160" s="15" t="s">
        <v>114</v>
      </c>
      <c r="G160" s="15" t="s">
        <v>163</v>
      </c>
      <c r="H160" s="27">
        <v>0.0008843750000000001</v>
      </c>
      <c r="I160" s="27"/>
      <c r="J160" s="27"/>
      <c r="K160" s="22">
        <v>116.41</v>
      </c>
    </row>
  </sheetData>
  <printOptions gridLines="1"/>
  <pageMargins left="0.57" right="0.45" top="1" bottom="0.51" header="0.5" footer="0.5"/>
  <pageSetup orientation="portrait" paperSize="9" r:id="rId1"/>
  <headerFooter alignWithMargins="0">
    <oddHeader>&amp;C&amp;A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L92"/>
  <sheetViews>
    <sheetView workbookViewId="0" topLeftCell="A1">
      <pane xSplit="6" ySplit="2" topLeftCell="G6" activePane="bottomRight" state="frozen"/>
      <selection pane="topLeft" activeCell="A1" sqref="A1"/>
      <selection pane="topRight" activeCell="J1" sqref="J1"/>
      <selection pane="bottomLeft" activeCell="A3" sqref="A3"/>
      <selection pane="bottomRight" activeCell="M10" sqref="M10"/>
    </sheetView>
  </sheetViews>
  <sheetFormatPr defaultColWidth="9.140625" defaultRowHeight="12.75"/>
  <cols>
    <col min="1" max="1" width="7.57421875" style="1" customWidth="1"/>
    <col min="2" max="2" width="20.28125" style="33" customWidth="1"/>
    <col min="3" max="3" width="4.140625" style="1" customWidth="1"/>
    <col min="4" max="4" width="4.57421875" style="1" customWidth="1"/>
    <col min="5" max="5" width="6.421875" style="1" customWidth="1"/>
    <col min="6" max="6" width="4.140625" style="1" customWidth="1"/>
    <col min="7" max="14" width="8.00390625" style="1" customWidth="1"/>
    <col min="15" max="15" width="9.140625" style="11" customWidth="1"/>
    <col min="17" max="17" width="9.140625" style="11" customWidth="1"/>
    <col min="26" max="16384" width="9.140625" style="11" customWidth="1"/>
  </cols>
  <sheetData>
    <row r="1" spans="1:38" ht="12.75" customHeight="1">
      <c r="A1" s="2"/>
      <c r="B1" s="3" t="s">
        <v>0</v>
      </c>
      <c r="C1" s="4" t="s">
        <v>1</v>
      </c>
      <c r="D1" s="2"/>
      <c r="E1" s="4" t="s">
        <v>2</v>
      </c>
      <c r="F1" s="4" t="s">
        <v>3</v>
      </c>
      <c r="G1" s="4"/>
      <c r="H1" s="4"/>
      <c r="I1" s="4"/>
      <c r="J1" s="4"/>
      <c r="K1" s="4"/>
      <c r="L1" s="4"/>
      <c r="M1" s="4"/>
      <c r="N1" s="4"/>
      <c r="O1" s="4"/>
      <c r="Q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</row>
    <row r="2" spans="1:38" ht="12.75">
      <c r="A2" s="2"/>
      <c r="B2" s="3"/>
      <c r="C2" s="4"/>
      <c r="D2" s="2"/>
      <c r="E2" s="12"/>
      <c r="F2" s="12"/>
      <c r="G2" s="12">
        <v>100</v>
      </c>
      <c r="H2" s="12">
        <v>300</v>
      </c>
      <c r="I2" s="12">
        <v>500</v>
      </c>
      <c r="J2" s="12">
        <v>1000</v>
      </c>
      <c r="K2" s="12">
        <v>1500</v>
      </c>
      <c r="L2" s="12">
        <v>3000</v>
      </c>
      <c r="M2" s="12">
        <v>5000</v>
      </c>
      <c r="N2" s="12">
        <v>10000</v>
      </c>
      <c r="O2" s="7"/>
      <c r="Q2" s="5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</row>
    <row r="3" spans="1:15" ht="12.75">
      <c r="A3" s="1">
        <v>35575</v>
      </c>
      <c r="B3" s="33" t="s">
        <v>113</v>
      </c>
      <c r="C3" s="1" t="s">
        <v>100</v>
      </c>
      <c r="D3" s="1" t="s">
        <v>41</v>
      </c>
      <c r="E3" s="1" t="s">
        <v>114</v>
      </c>
      <c r="F3" s="1">
        <v>1</v>
      </c>
      <c r="G3" s="79">
        <v>4.398148148148176E-06</v>
      </c>
      <c r="H3" s="79">
        <v>2.8819444444444433E-05</v>
      </c>
      <c r="I3" s="79">
        <v>5.2083333333333343E-05</v>
      </c>
      <c r="J3" s="79">
        <v>0.00010393518518518542</v>
      </c>
      <c r="K3" s="79"/>
      <c r="L3" s="79"/>
      <c r="M3" s="79"/>
      <c r="N3" s="79"/>
      <c r="O3" s="36"/>
    </row>
    <row r="4" spans="1:15" ht="12.75">
      <c r="A4" s="1">
        <v>35580</v>
      </c>
      <c r="B4" s="33" t="s">
        <v>115</v>
      </c>
      <c r="C4" s="1" t="s">
        <v>96</v>
      </c>
      <c r="D4" s="1" t="s">
        <v>41</v>
      </c>
      <c r="E4" s="1" t="s">
        <v>114</v>
      </c>
      <c r="F4" s="1">
        <v>1</v>
      </c>
      <c r="G4" s="79">
        <v>1.1574074074074004E-06</v>
      </c>
      <c r="H4" s="79">
        <v>3.530092592592604E-05</v>
      </c>
      <c r="I4" s="79">
        <v>4.548611111111105E-05</v>
      </c>
      <c r="J4" s="79">
        <v>0.00011539351851851836</v>
      </c>
      <c r="K4" s="79"/>
      <c r="L4" s="79"/>
      <c r="M4" s="79"/>
      <c r="N4" s="79"/>
      <c r="O4" s="36"/>
    </row>
    <row r="5" spans="1:15" ht="12.75">
      <c r="A5" s="1">
        <v>35602</v>
      </c>
      <c r="B5" s="53" t="s">
        <v>107</v>
      </c>
      <c r="C5" s="1" t="s">
        <v>96</v>
      </c>
      <c r="D5" s="1" t="s">
        <v>41</v>
      </c>
      <c r="E5" s="1" t="s">
        <v>97</v>
      </c>
      <c r="F5" s="1">
        <v>1</v>
      </c>
      <c r="G5" s="79">
        <v>5.324074074074069E-06</v>
      </c>
      <c r="H5" s="79">
        <v>3.15972222222223E-05</v>
      </c>
      <c r="I5" s="79">
        <v>4.79166666666667E-05</v>
      </c>
      <c r="J5" s="79">
        <v>0.00016099537037037037</v>
      </c>
      <c r="K5" s="79"/>
      <c r="L5" s="79"/>
      <c r="M5" s="79"/>
      <c r="N5" s="79"/>
      <c r="O5" s="36"/>
    </row>
    <row r="6" spans="1:15" ht="12.75">
      <c r="A6" s="1">
        <v>35593</v>
      </c>
      <c r="B6" s="53" t="s">
        <v>118</v>
      </c>
      <c r="C6" s="1" t="s">
        <v>96</v>
      </c>
      <c r="D6" s="1" t="s">
        <v>41</v>
      </c>
      <c r="E6" s="1" t="s">
        <v>97</v>
      </c>
      <c r="F6" s="1">
        <v>1</v>
      </c>
      <c r="G6" s="79">
        <v>7.87037037037035E-06</v>
      </c>
      <c r="H6" s="79">
        <v>6.273148148148154E-05</v>
      </c>
      <c r="I6" s="79">
        <v>4.548611111111105E-05</v>
      </c>
      <c r="J6" s="79">
        <v>9.745370370370398E-05</v>
      </c>
      <c r="K6" s="79"/>
      <c r="L6" s="79"/>
      <c r="M6" s="79"/>
      <c r="N6" s="79"/>
      <c r="O6" s="36"/>
    </row>
    <row r="7" spans="1:15" ht="12.75">
      <c r="A7" s="1">
        <v>35604</v>
      </c>
      <c r="B7" s="53" t="s">
        <v>122</v>
      </c>
      <c r="C7" s="1" t="s">
        <v>100</v>
      </c>
      <c r="D7" s="1" t="s">
        <v>41</v>
      </c>
      <c r="E7" s="1" t="s">
        <v>97</v>
      </c>
      <c r="F7" s="1">
        <v>1</v>
      </c>
      <c r="G7" s="79">
        <v>3.2407407407407482E-06</v>
      </c>
      <c r="H7" s="79">
        <v>3.6111111111111055E-05</v>
      </c>
      <c r="I7" s="79">
        <v>4.374999999999995E-05</v>
      </c>
      <c r="J7" s="79">
        <v>9.641203703703721E-05</v>
      </c>
      <c r="K7" s="79"/>
      <c r="L7" s="79"/>
      <c r="M7" s="79"/>
      <c r="N7" s="79"/>
      <c r="O7" s="36"/>
    </row>
    <row r="8" spans="1:15" ht="12.75">
      <c r="A8" s="1">
        <v>35585</v>
      </c>
      <c r="B8" s="53" t="s">
        <v>142</v>
      </c>
      <c r="C8" s="1" t="s">
        <v>100</v>
      </c>
      <c r="D8" s="1" t="s">
        <v>41</v>
      </c>
      <c r="E8" s="1" t="s">
        <v>97</v>
      </c>
      <c r="F8" s="1">
        <v>2</v>
      </c>
      <c r="G8" s="79">
        <v>3.7037037037037355E-06</v>
      </c>
      <c r="H8" s="79">
        <v>3.7731481481481524E-05</v>
      </c>
      <c r="I8" s="79">
        <v>4.756944444444459E-05</v>
      </c>
      <c r="J8" s="79">
        <v>0.00010925925925925925</v>
      </c>
      <c r="K8" s="79"/>
      <c r="L8" s="79"/>
      <c r="M8" s="79"/>
      <c r="N8" s="79"/>
      <c r="O8" s="36"/>
    </row>
    <row r="9" spans="1:15" ht="12.75">
      <c r="A9" s="1">
        <v>35615</v>
      </c>
      <c r="B9" s="33" t="s">
        <v>137</v>
      </c>
      <c r="C9" s="1" t="s">
        <v>169</v>
      </c>
      <c r="D9" s="1" t="s">
        <v>41</v>
      </c>
      <c r="E9" s="1" t="s">
        <v>97</v>
      </c>
      <c r="F9" s="1">
        <v>1</v>
      </c>
      <c r="G9" s="79"/>
      <c r="H9" s="79"/>
      <c r="I9" s="79"/>
      <c r="J9" s="79"/>
      <c r="K9" s="79"/>
      <c r="L9" s="79"/>
      <c r="M9" s="79"/>
      <c r="N9" s="79"/>
      <c r="O9" s="35"/>
    </row>
    <row r="10" spans="1:15" ht="12.75">
      <c r="A10" s="1">
        <v>35616</v>
      </c>
      <c r="B10" s="33" t="s">
        <v>124</v>
      </c>
      <c r="C10" s="1" t="s">
        <v>96</v>
      </c>
      <c r="D10" s="1" t="s">
        <v>41</v>
      </c>
      <c r="E10" s="1" t="s">
        <v>97</v>
      </c>
      <c r="F10" s="1">
        <v>1</v>
      </c>
      <c r="G10" s="79"/>
      <c r="H10" s="79"/>
      <c r="I10" s="79"/>
      <c r="J10" s="79"/>
      <c r="K10" s="79"/>
      <c r="L10" s="79"/>
      <c r="M10" s="79"/>
      <c r="N10" s="79"/>
      <c r="O10" s="35"/>
    </row>
    <row r="11" spans="1:15" ht="12.75">
      <c r="A11" s="1">
        <v>35631</v>
      </c>
      <c r="B11" s="33" t="s">
        <v>145</v>
      </c>
      <c r="C11" s="1" t="s">
        <v>96</v>
      </c>
      <c r="D11" s="1" t="s">
        <v>41</v>
      </c>
      <c r="E11" s="1" t="s">
        <v>97</v>
      </c>
      <c r="F11" s="1">
        <v>2</v>
      </c>
      <c r="G11" s="79"/>
      <c r="H11" s="79"/>
      <c r="I11" s="79"/>
      <c r="J11" s="79"/>
      <c r="K11" s="79"/>
      <c r="L11" s="79"/>
      <c r="M11" s="79"/>
      <c r="N11" s="79"/>
      <c r="O11" s="35"/>
    </row>
    <row r="12" spans="1:15" ht="12.75">
      <c r="A12" s="1">
        <v>35594</v>
      </c>
      <c r="B12" s="53" t="s">
        <v>151</v>
      </c>
      <c r="C12" s="1" t="s">
        <v>96</v>
      </c>
      <c r="D12" s="1" t="s">
        <v>41</v>
      </c>
      <c r="E12" s="1" t="s">
        <v>97</v>
      </c>
      <c r="F12" s="1">
        <v>3</v>
      </c>
      <c r="G12" s="79">
        <v>3.1250000000000624E-06</v>
      </c>
      <c r="H12" s="79">
        <v>9.837962962963066E-06</v>
      </c>
      <c r="I12" s="79">
        <v>1.8287037037037143E-05</v>
      </c>
      <c r="J12" s="79">
        <v>2.916666666666649E-05</v>
      </c>
      <c r="K12" s="79"/>
      <c r="L12" s="79"/>
      <c r="M12" s="79"/>
      <c r="N12" s="79"/>
      <c r="O12" s="36"/>
    </row>
    <row r="13" spans="1:15" ht="12.75">
      <c r="A13" s="1">
        <v>35618</v>
      </c>
      <c r="B13" s="33" t="s">
        <v>99</v>
      </c>
      <c r="C13" s="1" t="s">
        <v>169</v>
      </c>
      <c r="D13" s="1" t="s">
        <v>41</v>
      </c>
      <c r="E13" s="1" t="s">
        <v>97</v>
      </c>
      <c r="F13" s="1">
        <v>3</v>
      </c>
      <c r="G13" s="79"/>
      <c r="H13" s="79"/>
      <c r="I13" s="79"/>
      <c r="J13" s="79"/>
      <c r="K13" s="79"/>
      <c r="L13" s="79"/>
      <c r="M13" s="79"/>
      <c r="N13" s="79"/>
      <c r="O13" s="35"/>
    </row>
    <row r="14" spans="1:15" ht="12.75">
      <c r="A14" s="1">
        <v>35620</v>
      </c>
      <c r="B14" s="33" t="s">
        <v>144</v>
      </c>
      <c r="C14" s="1" t="s">
        <v>96</v>
      </c>
      <c r="D14" s="1" t="s">
        <v>41</v>
      </c>
      <c r="E14" s="1" t="s">
        <v>97</v>
      </c>
      <c r="F14" s="1">
        <v>2</v>
      </c>
      <c r="G14" s="79"/>
      <c r="H14" s="79"/>
      <c r="I14" s="79"/>
      <c r="J14" s="79"/>
      <c r="K14" s="79"/>
      <c r="L14" s="79"/>
      <c r="M14" s="79"/>
      <c r="N14" s="79"/>
      <c r="O14" s="35"/>
    </row>
    <row r="15" spans="1:15" ht="12.75">
      <c r="A15" s="1">
        <v>35609</v>
      </c>
      <c r="B15" s="33" t="s">
        <v>95</v>
      </c>
      <c r="C15" s="1" t="s">
        <v>100</v>
      </c>
      <c r="D15" s="1" t="s">
        <v>41</v>
      </c>
      <c r="E15" s="1" t="s">
        <v>97</v>
      </c>
      <c r="F15" s="1">
        <v>3</v>
      </c>
      <c r="G15" s="79"/>
      <c r="H15" s="79"/>
      <c r="I15" s="79"/>
      <c r="J15" s="79"/>
      <c r="K15" s="79"/>
      <c r="L15" s="79"/>
      <c r="M15" s="79"/>
      <c r="N15" s="79"/>
      <c r="O15" s="35"/>
    </row>
    <row r="16" spans="1:15" ht="12.75">
      <c r="A16" s="1">
        <v>35626</v>
      </c>
      <c r="B16" s="33" t="s">
        <v>132</v>
      </c>
      <c r="C16" s="1" t="s">
        <v>100</v>
      </c>
      <c r="D16" s="1" t="s">
        <v>41</v>
      </c>
      <c r="E16" s="1" t="s">
        <v>97</v>
      </c>
      <c r="F16" s="1">
        <v>3</v>
      </c>
      <c r="G16" s="79"/>
      <c r="H16" s="79"/>
      <c r="I16" s="79"/>
      <c r="J16" s="79"/>
      <c r="K16" s="79"/>
      <c r="L16" s="79"/>
      <c r="M16" s="79"/>
      <c r="N16" s="79"/>
      <c r="O16" s="35"/>
    </row>
    <row r="17" spans="1:15" ht="12.75">
      <c r="A17" s="1">
        <v>35613</v>
      </c>
      <c r="B17" s="33" t="s">
        <v>130</v>
      </c>
      <c r="C17" s="1" t="s">
        <v>169</v>
      </c>
      <c r="D17" s="1" t="s">
        <v>41</v>
      </c>
      <c r="E17" s="1" t="s">
        <v>97</v>
      </c>
      <c r="F17" s="1">
        <v>3</v>
      </c>
      <c r="G17" s="79"/>
      <c r="H17" s="79"/>
      <c r="I17" s="79"/>
      <c r="J17" s="79"/>
      <c r="K17" s="79"/>
      <c r="L17" s="79"/>
      <c r="M17" s="79"/>
      <c r="N17" s="79"/>
      <c r="O17" s="35"/>
    </row>
    <row r="18" spans="1:15" ht="12.75">
      <c r="A18" s="1">
        <v>35621</v>
      </c>
      <c r="B18" s="33" t="s">
        <v>161</v>
      </c>
      <c r="C18" s="1" t="s">
        <v>100</v>
      </c>
      <c r="D18" s="1" t="s">
        <v>41</v>
      </c>
      <c r="E18" s="1" t="s">
        <v>97</v>
      </c>
      <c r="F18" s="1">
        <v>4</v>
      </c>
      <c r="G18" s="79"/>
      <c r="H18" s="79"/>
      <c r="I18" s="79"/>
      <c r="J18" s="79"/>
      <c r="K18" s="79"/>
      <c r="L18" s="79"/>
      <c r="M18" s="79"/>
      <c r="N18" s="79"/>
      <c r="O18" s="35"/>
    </row>
    <row r="19" spans="1:15" s="14" customFormat="1" ht="11.25">
      <c r="A19" s="14">
        <v>35552</v>
      </c>
      <c r="B19" s="16" t="s">
        <v>101</v>
      </c>
      <c r="C19" s="14" t="s">
        <v>96</v>
      </c>
      <c r="D19" s="14" t="s">
        <v>8</v>
      </c>
      <c r="E19" s="14" t="s">
        <v>114</v>
      </c>
      <c r="F19" s="14">
        <v>1</v>
      </c>
      <c r="G19" s="80">
        <v>1.0300925925925945E-05</v>
      </c>
      <c r="H19" s="80">
        <v>1.7592592592592595E-05</v>
      </c>
      <c r="I19" s="80">
        <v>5.046296296296298E-05</v>
      </c>
      <c r="J19" s="80">
        <v>8.668981481481483E-05</v>
      </c>
      <c r="K19" s="80"/>
      <c r="L19" s="80"/>
      <c r="M19" s="80"/>
      <c r="N19" s="80"/>
      <c r="O19" s="41"/>
    </row>
    <row r="20" spans="1:15" ht="12.75">
      <c r="A20" s="1">
        <v>35597</v>
      </c>
      <c r="B20" s="62" t="s">
        <v>106</v>
      </c>
      <c r="C20" s="1" t="s">
        <v>96</v>
      </c>
      <c r="D20" s="1" t="s">
        <v>8</v>
      </c>
      <c r="E20" s="1" t="s">
        <v>97</v>
      </c>
      <c r="F20" s="1">
        <v>1</v>
      </c>
      <c r="G20" s="79">
        <v>1.5393518518518534E-05</v>
      </c>
      <c r="H20" s="79">
        <v>5.6828703703703685E-05</v>
      </c>
      <c r="I20" s="79">
        <v>8.171296296296312E-05</v>
      </c>
      <c r="J20" s="79">
        <v>0.0001818287037037038</v>
      </c>
      <c r="K20" s="79"/>
      <c r="L20" s="79"/>
      <c r="M20" s="79"/>
      <c r="N20" s="79"/>
      <c r="O20" s="36"/>
    </row>
    <row r="21" spans="1:15" ht="12.75">
      <c r="A21" s="1">
        <v>35540</v>
      </c>
      <c r="B21" s="33" t="s">
        <v>127</v>
      </c>
      <c r="C21" s="1" t="s">
        <v>100</v>
      </c>
      <c r="D21" s="1" t="s">
        <v>8</v>
      </c>
      <c r="E21" s="1" t="s">
        <v>114</v>
      </c>
      <c r="F21" s="1">
        <v>1</v>
      </c>
      <c r="G21" s="79">
        <v>1.6203703703703606E-06</v>
      </c>
      <c r="H21" s="79">
        <v>2.7777777777778694E-06</v>
      </c>
      <c r="I21" s="79">
        <v>2.5231481481481437E-05</v>
      </c>
      <c r="J21" s="79"/>
      <c r="K21" s="79"/>
      <c r="L21" s="79"/>
      <c r="M21" s="79"/>
      <c r="N21" s="79"/>
      <c r="O21" s="36"/>
    </row>
    <row r="22" spans="1:15" ht="12.75">
      <c r="A22" s="1">
        <v>35633</v>
      </c>
      <c r="B22" s="62" t="s">
        <v>135</v>
      </c>
      <c r="C22" s="1" t="s">
        <v>96</v>
      </c>
      <c r="D22" s="1" t="s">
        <v>8</v>
      </c>
      <c r="E22" s="1" t="s">
        <v>97</v>
      </c>
      <c r="F22" s="1">
        <v>2</v>
      </c>
      <c r="G22" s="79"/>
      <c r="H22" s="79"/>
      <c r="I22" s="79"/>
      <c r="J22" s="79"/>
      <c r="K22" s="79"/>
      <c r="L22" s="79"/>
      <c r="M22" s="79"/>
      <c r="N22" s="79"/>
      <c r="O22" s="36"/>
    </row>
    <row r="23" spans="1:15" ht="12.75">
      <c r="A23" s="1">
        <v>35627</v>
      </c>
      <c r="B23" s="33" t="s">
        <v>98</v>
      </c>
      <c r="C23" s="1" t="s">
        <v>100</v>
      </c>
      <c r="D23" s="1" t="s">
        <v>8</v>
      </c>
      <c r="E23" s="1" t="s">
        <v>97</v>
      </c>
      <c r="F23" s="1">
        <v>3</v>
      </c>
      <c r="G23" s="79"/>
      <c r="H23" s="79"/>
      <c r="I23" s="79"/>
      <c r="J23" s="79"/>
      <c r="K23" s="79"/>
      <c r="L23" s="79"/>
      <c r="M23" s="79"/>
      <c r="N23" s="79"/>
      <c r="O23" s="35"/>
    </row>
    <row r="24" spans="1:15" ht="12.75">
      <c r="A24" s="1">
        <v>35587</v>
      </c>
      <c r="B24" s="53" t="s">
        <v>148</v>
      </c>
      <c r="C24" s="1" t="s">
        <v>96</v>
      </c>
      <c r="D24" s="1" t="s">
        <v>8</v>
      </c>
      <c r="E24" s="1" t="s">
        <v>97</v>
      </c>
      <c r="F24" s="1">
        <v>3</v>
      </c>
      <c r="G24" s="79">
        <v>9.490740740740738E-06</v>
      </c>
      <c r="H24" s="79">
        <v>3.819444444444443E-05</v>
      </c>
      <c r="I24" s="79">
        <v>5.127314814814816E-05</v>
      </c>
      <c r="J24" s="79">
        <v>9.837962962962968E-05</v>
      </c>
      <c r="K24" s="79"/>
      <c r="L24" s="79"/>
      <c r="M24" s="79"/>
      <c r="N24" s="79"/>
      <c r="O24" s="36"/>
    </row>
    <row r="25" spans="1:15" ht="12.75">
      <c r="A25" s="1">
        <v>35622</v>
      </c>
      <c r="B25" s="33" t="s">
        <v>126</v>
      </c>
      <c r="C25" s="1" t="s">
        <v>96</v>
      </c>
      <c r="D25" s="1" t="s">
        <v>8</v>
      </c>
      <c r="E25" s="1" t="s">
        <v>97</v>
      </c>
      <c r="F25" s="1">
        <v>4</v>
      </c>
      <c r="G25" s="79"/>
      <c r="H25" s="79"/>
      <c r="I25" s="79"/>
      <c r="J25" s="79"/>
      <c r="K25" s="79"/>
      <c r="L25" s="79"/>
      <c r="M25" s="79"/>
      <c r="N25" s="79"/>
      <c r="O25" s="35"/>
    </row>
    <row r="26" spans="1:15" ht="12.75">
      <c r="A26" s="1">
        <v>35624</v>
      </c>
      <c r="B26" s="33" t="s">
        <v>143</v>
      </c>
      <c r="C26" s="1" t="s">
        <v>100</v>
      </c>
      <c r="D26" s="1" t="s">
        <v>8</v>
      </c>
      <c r="E26" s="1" t="s">
        <v>97</v>
      </c>
      <c r="F26" s="1">
        <v>2</v>
      </c>
      <c r="G26" s="79"/>
      <c r="H26" s="79"/>
      <c r="I26" s="79"/>
      <c r="J26" s="79"/>
      <c r="K26" s="79"/>
      <c r="L26" s="79"/>
      <c r="M26" s="79"/>
      <c r="N26" s="79"/>
      <c r="O26" s="35"/>
    </row>
    <row r="27" spans="1:15" ht="12.75">
      <c r="A27" s="1">
        <v>35625</v>
      </c>
      <c r="B27" s="33" t="s">
        <v>125</v>
      </c>
      <c r="C27" s="1" t="s">
        <v>100</v>
      </c>
      <c r="D27" s="1" t="s">
        <v>8</v>
      </c>
      <c r="E27" s="1" t="s">
        <v>97</v>
      </c>
      <c r="F27" s="1">
        <v>2</v>
      </c>
      <c r="G27" s="79"/>
      <c r="H27" s="79"/>
      <c r="I27" s="79"/>
      <c r="J27" s="79"/>
      <c r="K27" s="79"/>
      <c r="L27" s="79"/>
      <c r="M27" s="79"/>
      <c r="N27" s="79"/>
      <c r="O27" s="35"/>
    </row>
    <row r="28" spans="1:15" s="14" customFormat="1" ht="11.25">
      <c r="A28" s="14">
        <v>35545</v>
      </c>
      <c r="B28" s="16" t="s">
        <v>52</v>
      </c>
      <c r="C28" s="14">
        <v>1</v>
      </c>
      <c r="D28" s="14" t="s">
        <v>41</v>
      </c>
      <c r="E28" s="14" t="s">
        <v>53</v>
      </c>
      <c r="F28" s="14">
        <v>1</v>
      </c>
      <c r="G28" s="80">
        <v>8.333333333333337E-06</v>
      </c>
      <c r="H28" s="80">
        <v>9.606481481481478E-06</v>
      </c>
      <c r="I28" s="80">
        <v>3.49537037037036E-05</v>
      </c>
      <c r="J28" s="80">
        <v>3.958333333333331E-05</v>
      </c>
      <c r="K28" s="80">
        <v>0.00021284722222222213</v>
      </c>
      <c r="L28" s="80"/>
      <c r="M28" s="80"/>
      <c r="N28" s="80"/>
      <c r="O28" s="41"/>
    </row>
    <row r="29" spans="1:15" ht="12.75">
      <c r="A29" s="1">
        <v>35557</v>
      </c>
      <c r="B29" s="33" t="s">
        <v>62</v>
      </c>
      <c r="C29" s="1">
        <v>2</v>
      </c>
      <c r="D29" s="1" t="s">
        <v>41</v>
      </c>
      <c r="E29" s="1" t="s">
        <v>53</v>
      </c>
      <c r="F29" s="1">
        <v>1</v>
      </c>
      <c r="G29" s="79">
        <v>3.2407407407407482E-06</v>
      </c>
      <c r="H29" s="79">
        <v>8.217592592592543E-06</v>
      </c>
      <c r="I29" s="79">
        <v>1.7013888888889003E-05</v>
      </c>
      <c r="J29" s="79">
        <v>3.194444444444447E-05</v>
      </c>
      <c r="K29" s="79">
        <v>0.00013576388888888883</v>
      </c>
      <c r="L29" s="79"/>
      <c r="M29" s="79"/>
      <c r="N29" s="79"/>
      <c r="O29" s="36"/>
    </row>
    <row r="30" spans="1:15" s="14" customFormat="1" ht="11.25">
      <c r="A30" s="14">
        <v>35542</v>
      </c>
      <c r="B30" s="16" t="s">
        <v>81</v>
      </c>
      <c r="C30" s="14">
        <v>1</v>
      </c>
      <c r="D30" s="14" t="s">
        <v>41</v>
      </c>
      <c r="E30" s="14" t="s">
        <v>53</v>
      </c>
      <c r="F30" s="14">
        <v>1</v>
      </c>
      <c r="G30" s="80">
        <v>6.134259259259276E-06</v>
      </c>
      <c r="H30" s="80">
        <v>1.782407407407402E-05</v>
      </c>
      <c r="I30" s="80">
        <v>3.634259259259259E-05</v>
      </c>
      <c r="J30" s="80">
        <v>9.629629629629636E-05</v>
      </c>
      <c r="K30" s="80"/>
      <c r="L30" s="80"/>
      <c r="M30" s="80"/>
      <c r="N30" s="80"/>
      <c r="O30" s="41"/>
    </row>
    <row r="31" spans="1:14" ht="12.75">
      <c r="A31" s="1">
        <v>35600</v>
      </c>
      <c r="B31" s="33" t="s">
        <v>141</v>
      </c>
      <c r="C31" s="1">
        <v>1</v>
      </c>
      <c r="D31" s="1" t="s">
        <v>41</v>
      </c>
      <c r="E31" s="1" t="s">
        <v>53</v>
      </c>
      <c r="F31" s="1">
        <v>3</v>
      </c>
      <c r="G31" s="79"/>
      <c r="H31" s="79"/>
      <c r="I31" s="79"/>
      <c r="J31" s="79"/>
      <c r="K31" s="79"/>
      <c r="L31" s="79"/>
      <c r="M31" s="79"/>
      <c r="N31" s="79"/>
    </row>
    <row r="32" spans="1:15" ht="12.75">
      <c r="A32" s="1">
        <v>35598</v>
      </c>
      <c r="B32" s="53" t="s">
        <v>157</v>
      </c>
      <c r="C32" s="1">
        <v>1</v>
      </c>
      <c r="D32" s="1" t="s">
        <v>41</v>
      </c>
      <c r="E32" s="1" t="s">
        <v>53</v>
      </c>
      <c r="F32" s="1">
        <v>4</v>
      </c>
      <c r="G32" s="79"/>
      <c r="H32" s="79"/>
      <c r="I32" s="79"/>
      <c r="J32" s="79"/>
      <c r="K32" s="79"/>
      <c r="L32" s="79"/>
      <c r="M32" s="79"/>
      <c r="N32" s="79"/>
      <c r="O32" s="36"/>
    </row>
    <row r="33" spans="1:38" s="14" customFormat="1" ht="11.25">
      <c r="A33" s="15">
        <v>35428</v>
      </c>
      <c r="B33" s="16" t="s">
        <v>27</v>
      </c>
      <c r="C33" s="15">
        <v>2</v>
      </c>
      <c r="D33" s="15" t="s">
        <v>8</v>
      </c>
      <c r="E33" s="1" t="s">
        <v>53</v>
      </c>
      <c r="F33" s="15">
        <v>1</v>
      </c>
      <c r="G33" s="81"/>
      <c r="H33" s="81"/>
      <c r="I33" s="81">
        <v>7.754629629629637E-06</v>
      </c>
      <c r="J33" s="81">
        <v>2.4884259259259326E-05</v>
      </c>
      <c r="K33" s="81">
        <v>9.837962962962795E-06</v>
      </c>
      <c r="L33" s="81"/>
      <c r="M33" s="81"/>
      <c r="N33" s="81"/>
      <c r="O33" s="29"/>
      <c r="Q33" s="32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</row>
    <row r="34" spans="1:15" s="14" customFormat="1" ht="11.25">
      <c r="A34" s="15">
        <v>35526</v>
      </c>
      <c r="B34" s="16" t="s">
        <v>31</v>
      </c>
      <c r="C34" s="14">
        <v>2</v>
      </c>
      <c r="D34" s="15" t="s">
        <v>8</v>
      </c>
      <c r="E34" s="1" t="s">
        <v>53</v>
      </c>
      <c r="F34" s="15">
        <v>1</v>
      </c>
      <c r="G34" s="81">
        <v>5.208333333333329E-06</v>
      </c>
      <c r="H34" s="81">
        <v>7.523148148148103E-06</v>
      </c>
      <c r="I34" s="81">
        <v>1.770833333333328E-05</v>
      </c>
      <c r="J34" s="81">
        <v>5.057870370370372E-05</v>
      </c>
      <c r="K34" s="81">
        <v>0.00013796296296296278</v>
      </c>
      <c r="L34" s="81"/>
      <c r="M34" s="81"/>
      <c r="N34" s="81"/>
      <c r="O34" s="41"/>
    </row>
    <row r="35" spans="1:15" s="14" customFormat="1" ht="11.25">
      <c r="A35" s="15">
        <v>35546</v>
      </c>
      <c r="B35" s="16" t="s">
        <v>33</v>
      </c>
      <c r="C35" s="14">
        <v>2</v>
      </c>
      <c r="D35" s="15" t="s">
        <v>8</v>
      </c>
      <c r="E35" s="1" t="s">
        <v>53</v>
      </c>
      <c r="F35" s="15">
        <v>1</v>
      </c>
      <c r="G35" s="81">
        <v>4.1666666666666686E-06</v>
      </c>
      <c r="H35" s="81">
        <v>1.5162037037037E-05</v>
      </c>
      <c r="I35" s="81">
        <v>2.1643518518518496E-05</v>
      </c>
      <c r="J35" s="81">
        <v>3.0324074074074107E-05</v>
      </c>
      <c r="K35" s="81">
        <v>7.164351851851863E-05</v>
      </c>
      <c r="L35" s="81"/>
      <c r="M35" s="81"/>
      <c r="N35" s="81"/>
      <c r="O35" s="41"/>
    </row>
    <row r="36" spans="1:15" ht="12.75">
      <c r="A36" s="1">
        <v>35564</v>
      </c>
      <c r="B36" s="33" t="s">
        <v>39</v>
      </c>
      <c r="C36" s="1">
        <v>2</v>
      </c>
      <c r="D36" s="1" t="s">
        <v>8</v>
      </c>
      <c r="E36" s="1" t="s">
        <v>53</v>
      </c>
      <c r="F36" s="1">
        <v>1</v>
      </c>
      <c r="G36" s="79">
        <v>8.101851851851857E-06</v>
      </c>
      <c r="H36" s="79">
        <v>1.45833333333333E-05</v>
      </c>
      <c r="I36" s="79">
        <v>1.1921296296296333E-05</v>
      </c>
      <c r="J36" s="79">
        <v>5.4513888888888884E-05</v>
      </c>
      <c r="K36" s="79">
        <v>6.95601851851853E-05</v>
      </c>
      <c r="L36" s="79"/>
      <c r="M36" s="79"/>
      <c r="N36" s="79"/>
      <c r="O36" s="36"/>
    </row>
    <row r="37" spans="1:15" ht="12.75">
      <c r="A37" s="1">
        <v>35548</v>
      </c>
      <c r="B37" s="33" t="s">
        <v>54</v>
      </c>
      <c r="C37" s="1">
        <v>1</v>
      </c>
      <c r="D37" s="1" t="s">
        <v>8</v>
      </c>
      <c r="E37" s="1" t="s">
        <v>53</v>
      </c>
      <c r="F37" s="1">
        <v>1</v>
      </c>
      <c r="G37" s="79">
        <v>2.893518518518501E-06</v>
      </c>
      <c r="H37" s="79">
        <v>1.678240740740736E-05</v>
      </c>
      <c r="I37" s="79">
        <v>3.715277777777766E-05</v>
      </c>
      <c r="J37" s="79">
        <v>7.442129629629639E-05</v>
      </c>
      <c r="K37" s="79"/>
      <c r="L37" s="79"/>
      <c r="M37" s="79"/>
      <c r="N37" s="79"/>
      <c r="O37" s="36"/>
    </row>
    <row r="38" spans="1:15" ht="12.75">
      <c r="A38" s="1">
        <v>35560</v>
      </c>
      <c r="B38" s="33" t="s">
        <v>60</v>
      </c>
      <c r="C38" s="1">
        <v>1</v>
      </c>
      <c r="D38" s="1" t="s">
        <v>8</v>
      </c>
      <c r="E38" s="1" t="s">
        <v>53</v>
      </c>
      <c r="F38" s="1">
        <v>1</v>
      </c>
      <c r="G38" s="78">
        <v>8.101851851851532E-07</v>
      </c>
      <c r="H38" s="79">
        <v>2.2453703703703676E-05</v>
      </c>
      <c r="I38" s="79">
        <v>5.162037037037038E-05</v>
      </c>
      <c r="J38" s="79">
        <v>0.00010474537037037028</v>
      </c>
      <c r="K38" s="79"/>
      <c r="L38" s="79"/>
      <c r="M38" s="79"/>
      <c r="N38" s="79"/>
      <c r="O38" s="36"/>
    </row>
    <row r="39" spans="1:15" ht="12.75">
      <c r="A39" s="1">
        <v>35579</v>
      </c>
      <c r="B39" s="33" t="s">
        <v>50</v>
      </c>
      <c r="C39" s="1">
        <v>2</v>
      </c>
      <c r="D39" s="1" t="s">
        <v>8</v>
      </c>
      <c r="E39" s="1" t="s">
        <v>53</v>
      </c>
      <c r="F39" s="1">
        <v>1</v>
      </c>
      <c r="G39" s="79">
        <v>9.259259259259285E-06</v>
      </c>
      <c r="H39" s="79">
        <v>3.576388888888889E-05</v>
      </c>
      <c r="I39" s="79">
        <v>5.162037037037049E-05</v>
      </c>
      <c r="J39" s="79">
        <v>0.00014050925925925928</v>
      </c>
      <c r="K39" s="79"/>
      <c r="L39" s="79"/>
      <c r="M39" s="79"/>
      <c r="N39" s="79"/>
      <c r="O39" s="36"/>
    </row>
    <row r="40" spans="1:15" ht="12.75">
      <c r="A40" s="1">
        <v>35565</v>
      </c>
      <c r="B40" s="33" t="s">
        <v>110</v>
      </c>
      <c r="C40" s="1">
        <v>1</v>
      </c>
      <c r="D40" s="1" t="s">
        <v>8</v>
      </c>
      <c r="E40" s="1" t="s">
        <v>53</v>
      </c>
      <c r="F40" s="1">
        <v>2</v>
      </c>
      <c r="G40" s="79">
        <v>2.314814814814828E-06</v>
      </c>
      <c r="H40" s="79">
        <v>1.3078703703703733E-05</v>
      </c>
      <c r="I40" s="79">
        <v>2.893518518518512E-05</v>
      </c>
      <c r="J40" s="79">
        <v>2.1643518518518713E-05</v>
      </c>
      <c r="K40" s="79"/>
      <c r="L40" s="79"/>
      <c r="M40" s="79"/>
      <c r="N40" s="79"/>
      <c r="O40" s="36"/>
    </row>
    <row r="41" spans="1:15" ht="12.75">
      <c r="A41" s="1">
        <v>35578</v>
      </c>
      <c r="B41" s="33" t="s">
        <v>82</v>
      </c>
      <c r="C41" s="1">
        <v>1</v>
      </c>
      <c r="D41" s="15" t="s">
        <v>8</v>
      </c>
      <c r="E41" s="15" t="s">
        <v>53</v>
      </c>
      <c r="F41" s="1">
        <v>2</v>
      </c>
      <c r="G41" s="78">
        <v>2.546296296296308E-06</v>
      </c>
      <c r="H41" s="79">
        <v>2.3958333333333405E-05</v>
      </c>
      <c r="I41" s="79">
        <v>4.317129629629636E-05</v>
      </c>
      <c r="J41" s="79">
        <v>8.101851851851846E-05</v>
      </c>
      <c r="K41" s="79"/>
      <c r="L41" s="79"/>
      <c r="M41" s="79"/>
      <c r="N41" s="79"/>
      <c r="O41" s="36"/>
    </row>
    <row r="42" spans="1:15" ht="12.75">
      <c r="A42" s="1">
        <v>35582</v>
      </c>
      <c r="B42" s="33" t="s">
        <v>72</v>
      </c>
      <c r="C42" s="1">
        <v>1</v>
      </c>
      <c r="D42" s="15" t="s">
        <v>8</v>
      </c>
      <c r="E42" s="1" t="s">
        <v>53</v>
      </c>
      <c r="F42" s="1">
        <v>1</v>
      </c>
      <c r="G42" s="79">
        <v>1.2962962962962966E-05</v>
      </c>
      <c r="H42" s="79">
        <v>3.50694444444445E-05</v>
      </c>
      <c r="I42" s="79">
        <v>6.168981481481477E-05</v>
      </c>
      <c r="J42" s="79">
        <v>0.00010266203703703696</v>
      </c>
      <c r="K42" s="79"/>
      <c r="L42" s="79"/>
      <c r="M42" s="79"/>
      <c r="N42" s="79"/>
      <c r="O42" s="36"/>
    </row>
    <row r="43" spans="1:15" ht="12.75">
      <c r="A43" s="1">
        <v>35590</v>
      </c>
      <c r="B43" s="33" t="s">
        <v>116</v>
      </c>
      <c r="C43" s="1">
        <v>2</v>
      </c>
      <c r="D43" s="1" t="s">
        <v>8</v>
      </c>
      <c r="E43" s="1" t="s">
        <v>53</v>
      </c>
      <c r="F43" s="1">
        <v>2</v>
      </c>
      <c r="G43" s="79"/>
      <c r="H43" s="79"/>
      <c r="I43" s="79">
        <v>9.201388888888898E-05</v>
      </c>
      <c r="J43" s="79">
        <v>0.0001824074074074074</v>
      </c>
      <c r="K43" s="79"/>
      <c r="L43" s="79"/>
      <c r="M43" s="79"/>
      <c r="N43" s="79"/>
      <c r="O43" s="36"/>
    </row>
    <row r="44" spans="1:15" ht="12.75">
      <c r="A44" s="1">
        <v>35591</v>
      </c>
      <c r="B44" s="53" t="s">
        <v>138</v>
      </c>
      <c r="C44" s="1">
        <v>1</v>
      </c>
      <c r="D44" s="1" t="s">
        <v>8</v>
      </c>
      <c r="E44" s="1" t="s">
        <v>53</v>
      </c>
      <c r="F44" s="1">
        <v>4</v>
      </c>
      <c r="G44" s="79"/>
      <c r="H44" s="79"/>
      <c r="I44" s="79"/>
      <c r="J44" s="79"/>
      <c r="K44" s="79"/>
      <c r="L44" s="79"/>
      <c r="M44" s="79"/>
      <c r="N44" s="79"/>
      <c r="O44" s="36"/>
    </row>
    <row r="45" spans="1:15" ht="12.75">
      <c r="A45" s="1">
        <v>35617</v>
      </c>
      <c r="B45" s="33" t="s">
        <v>94</v>
      </c>
      <c r="C45" s="1">
        <v>1</v>
      </c>
      <c r="D45" s="1" t="s">
        <v>8</v>
      </c>
      <c r="E45" s="1" t="s">
        <v>53</v>
      </c>
      <c r="F45" s="1">
        <v>4</v>
      </c>
      <c r="G45" s="79"/>
      <c r="H45" s="79"/>
      <c r="I45" s="79"/>
      <c r="J45" s="79"/>
      <c r="K45" s="79"/>
      <c r="L45" s="79"/>
      <c r="M45" s="79"/>
      <c r="N45" s="79"/>
      <c r="O45" s="35"/>
    </row>
    <row r="46" spans="1:38" s="14" customFormat="1" ht="11.25">
      <c r="A46" s="15">
        <v>35421</v>
      </c>
      <c r="B46" s="16" t="s">
        <v>59</v>
      </c>
      <c r="C46" s="15">
        <v>2</v>
      </c>
      <c r="D46" s="15" t="s">
        <v>41</v>
      </c>
      <c r="E46" s="15" t="s">
        <v>28</v>
      </c>
      <c r="F46" s="15">
        <v>1</v>
      </c>
      <c r="G46" s="82">
        <v>4.861111111111082E-06</v>
      </c>
      <c r="H46" s="82">
        <v>8.449074074074023E-06</v>
      </c>
      <c r="I46" s="82">
        <v>9.259259259259203E-06</v>
      </c>
      <c r="J46" s="82">
        <v>9.027777777777723E-06</v>
      </c>
      <c r="K46" s="82">
        <v>1.296296296296245E-05</v>
      </c>
      <c r="L46" s="82">
        <v>0.0001675925925925933</v>
      </c>
      <c r="M46" s="81"/>
      <c r="N46" s="81"/>
      <c r="O46" s="29"/>
      <c r="Q46" s="32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</row>
    <row r="47" spans="1:38" s="14" customFormat="1" ht="11.25">
      <c r="A47" s="15">
        <v>35422</v>
      </c>
      <c r="B47" s="16" t="s">
        <v>45</v>
      </c>
      <c r="C47" s="15">
        <v>1</v>
      </c>
      <c r="D47" s="15" t="s">
        <v>41</v>
      </c>
      <c r="E47" s="15" t="s">
        <v>28</v>
      </c>
      <c r="F47" s="15">
        <v>1</v>
      </c>
      <c r="G47" s="81">
        <v>2.314814814814801E-06</v>
      </c>
      <c r="H47" s="81">
        <v>3.009259259259241E-06</v>
      </c>
      <c r="I47" s="81">
        <v>1.5856481481481494E-05</v>
      </c>
      <c r="J47" s="81">
        <v>3.645833333333344E-05</v>
      </c>
      <c r="K47" s="81">
        <v>7.002314814814805E-05</v>
      </c>
      <c r="L47" s="81"/>
      <c r="M47" s="81"/>
      <c r="N47" s="81"/>
      <c r="O47" s="29"/>
      <c r="Q47" s="32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</row>
    <row r="48" spans="1:38" s="14" customFormat="1" ht="11.25">
      <c r="A48" s="15">
        <v>35423</v>
      </c>
      <c r="B48" s="16" t="s">
        <v>74</v>
      </c>
      <c r="C48" s="15">
        <v>1</v>
      </c>
      <c r="D48" s="15" t="s">
        <v>41</v>
      </c>
      <c r="E48" s="15" t="s">
        <v>28</v>
      </c>
      <c r="F48" s="15">
        <v>1</v>
      </c>
      <c r="G48" s="81"/>
      <c r="H48" s="81"/>
      <c r="I48" s="82">
        <v>1.7129629629629634E-05</v>
      </c>
      <c r="J48" s="82">
        <v>4.062499999999986E-05</v>
      </c>
      <c r="K48" s="82">
        <v>3.9120370370370134E-05</v>
      </c>
      <c r="L48" s="81"/>
      <c r="M48" s="81"/>
      <c r="N48" s="81"/>
      <c r="O48" s="29"/>
      <c r="Q48" s="32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</row>
    <row r="49" spans="1:15" ht="12.75">
      <c r="A49" s="1">
        <v>35558</v>
      </c>
      <c r="B49" s="33" t="s">
        <v>66</v>
      </c>
      <c r="C49" s="1">
        <v>1</v>
      </c>
      <c r="D49" s="1" t="s">
        <v>41</v>
      </c>
      <c r="E49" s="15" t="s">
        <v>28</v>
      </c>
      <c r="F49" s="1">
        <v>1</v>
      </c>
      <c r="G49" s="78">
        <v>5.787037037037273E-07</v>
      </c>
      <c r="H49" s="79">
        <v>7.986111111111117E-06</v>
      </c>
      <c r="I49" s="79">
        <v>1.7939814814814706E-05</v>
      </c>
      <c r="J49" s="79">
        <v>5.787037037037002E-05</v>
      </c>
      <c r="K49" s="79">
        <v>0.00010775462962962995</v>
      </c>
      <c r="L49" s="79"/>
      <c r="M49" s="79"/>
      <c r="N49" s="79"/>
      <c r="O49" s="36"/>
    </row>
    <row r="50" spans="1:15" ht="12.75">
      <c r="A50" s="1">
        <v>35595</v>
      </c>
      <c r="B50" s="53" t="s">
        <v>84</v>
      </c>
      <c r="C50" s="1">
        <v>2</v>
      </c>
      <c r="D50" s="1" t="s">
        <v>41</v>
      </c>
      <c r="E50" s="1" t="s">
        <v>173</v>
      </c>
      <c r="F50" s="1">
        <v>2</v>
      </c>
      <c r="G50" s="79"/>
      <c r="H50" s="79"/>
      <c r="I50" s="78">
        <v>1.6319444444444563E-05</v>
      </c>
      <c r="J50" s="78">
        <v>3.877314814814824E-05</v>
      </c>
      <c r="K50" s="79"/>
      <c r="L50" s="79"/>
      <c r="M50" s="79"/>
      <c r="N50" s="79"/>
      <c r="O50" s="36"/>
    </row>
    <row r="51" spans="1:38" s="14" customFormat="1" ht="11.25">
      <c r="A51" s="15">
        <v>35334</v>
      </c>
      <c r="B51" s="16" t="s">
        <v>89</v>
      </c>
      <c r="C51" s="15">
        <v>2</v>
      </c>
      <c r="D51" s="15" t="s">
        <v>41</v>
      </c>
      <c r="E51" s="15" t="s">
        <v>28</v>
      </c>
      <c r="F51" s="15">
        <v>3</v>
      </c>
      <c r="G51" s="82">
        <v>0.00021122685185185182</v>
      </c>
      <c r="H51" s="81">
        <v>1.3657407407407487E-05</v>
      </c>
      <c r="I51" s="81">
        <v>8.217592592592543E-06</v>
      </c>
      <c r="J51" s="81">
        <v>1.7129629629629526E-05</v>
      </c>
      <c r="K51" s="81">
        <v>2.164351851851893E-05</v>
      </c>
      <c r="L51" s="81"/>
      <c r="M51" s="81"/>
      <c r="N51" s="81"/>
      <c r="O51" s="29"/>
      <c r="Q51" s="32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</row>
    <row r="52" spans="1:15" ht="12.75">
      <c r="A52" s="1">
        <v>35603</v>
      </c>
      <c r="B52" s="53" t="s">
        <v>88</v>
      </c>
      <c r="C52" s="1">
        <v>1</v>
      </c>
      <c r="D52" s="1" t="s">
        <v>41</v>
      </c>
      <c r="E52" s="15" t="s">
        <v>28</v>
      </c>
      <c r="F52" s="1">
        <v>3</v>
      </c>
      <c r="G52" s="79"/>
      <c r="H52" s="79"/>
      <c r="I52" s="79">
        <v>1.1574074074074004E-05</v>
      </c>
      <c r="J52" s="78">
        <v>1.7013888888888894E-05</v>
      </c>
      <c r="K52" s="79"/>
      <c r="L52" s="79"/>
      <c r="M52" s="79"/>
      <c r="N52" s="79"/>
      <c r="O52" s="36"/>
    </row>
    <row r="53" spans="1:38" s="14" customFormat="1" ht="11.25">
      <c r="A53" s="15">
        <v>35530</v>
      </c>
      <c r="B53" s="16" t="s">
        <v>55</v>
      </c>
      <c r="C53" s="15">
        <v>2</v>
      </c>
      <c r="D53" s="15" t="s">
        <v>8</v>
      </c>
      <c r="E53" s="15" t="s">
        <v>28</v>
      </c>
      <c r="F53" s="15">
        <v>2</v>
      </c>
      <c r="G53" s="81">
        <v>1.8518518518518678E-06</v>
      </c>
      <c r="H53" s="81">
        <v>2.6620370370370372E-05</v>
      </c>
      <c r="I53" s="81">
        <v>2.2916666666666745E-05</v>
      </c>
      <c r="J53" s="81">
        <v>3.946759259259246E-05</v>
      </c>
      <c r="K53" s="81">
        <v>1.3657407407407108E-05</v>
      </c>
      <c r="L53" s="81"/>
      <c r="M53" s="81"/>
      <c r="N53" s="81"/>
      <c r="O53" s="29"/>
      <c r="Q53" s="32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</row>
    <row r="54" spans="1:15" ht="12.75">
      <c r="A54" s="1">
        <v>35574</v>
      </c>
      <c r="B54" s="33" t="s">
        <v>29</v>
      </c>
      <c r="C54" s="1">
        <v>1</v>
      </c>
      <c r="D54" s="1" t="s">
        <v>8</v>
      </c>
      <c r="E54" s="1" t="s">
        <v>28</v>
      </c>
      <c r="F54" s="1">
        <v>1</v>
      </c>
      <c r="G54" s="79"/>
      <c r="H54" s="79">
        <v>1.1111111111111098E-05</v>
      </c>
      <c r="I54" s="79">
        <v>1.956018518518523E-05</v>
      </c>
      <c r="J54" s="79">
        <v>3.92361111111112E-05</v>
      </c>
      <c r="K54" s="79">
        <v>0.00010173611111111125</v>
      </c>
      <c r="L54" s="79"/>
      <c r="M54" s="79"/>
      <c r="N54" s="79"/>
      <c r="O54" s="36"/>
    </row>
    <row r="55" spans="1:15" ht="12.75">
      <c r="A55" s="1">
        <v>35586</v>
      </c>
      <c r="B55" s="53" t="s">
        <v>57</v>
      </c>
      <c r="C55" s="1">
        <v>2</v>
      </c>
      <c r="D55" s="1" t="s">
        <v>8</v>
      </c>
      <c r="E55" s="1" t="s">
        <v>173</v>
      </c>
      <c r="F55" s="1">
        <v>2</v>
      </c>
      <c r="G55" s="79"/>
      <c r="H55" s="79"/>
      <c r="I55" s="79">
        <v>2.777777777777761E-06</v>
      </c>
      <c r="J55" s="78">
        <v>2.835648148148142E-05</v>
      </c>
      <c r="K55" s="79"/>
      <c r="L55" s="79"/>
      <c r="M55" s="79"/>
      <c r="N55" s="79"/>
      <c r="O55" s="36"/>
    </row>
    <row r="56" spans="1:15" ht="12.75">
      <c r="A56" s="1">
        <v>35570</v>
      </c>
      <c r="B56" s="33" t="s">
        <v>58</v>
      </c>
      <c r="C56" s="1">
        <v>1</v>
      </c>
      <c r="D56" s="1" t="s">
        <v>8</v>
      </c>
      <c r="E56" s="1" t="s">
        <v>28</v>
      </c>
      <c r="F56" s="1">
        <v>2</v>
      </c>
      <c r="G56" s="79">
        <v>2.430555555555568E-06</v>
      </c>
      <c r="H56" s="79">
        <v>1.1111111111111152E-05</v>
      </c>
      <c r="I56" s="79">
        <v>3.171296296296288E-05</v>
      </c>
      <c r="J56" s="79">
        <v>3.923611111111098E-05</v>
      </c>
      <c r="K56" s="79">
        <v>4.907407407407443E-05</v>
      </c>
      <c r="L56" s="79"/>
      <c r="M56" s="79"/>
      <c r="N56" s="79"/>
      <c r="O56" s="36"/>
    </row>
    <row r="57" spans="1:38" s="14" customFormat="1" ht="11.25">
      <c r="A57" s="15">
        <v>35318</v>
      </c>
      <c r="B57" s="16" t="s">
        <v>75</v>
      </c>
      <c r="C57" s="15">
        <v>2</v>
      </c>
      <c r="D57" s="15" t="s">
        <v>41</v>
      </c>
      <c r="E57" s="15" t="s">
        <v>18</v>
      </c>
      <c r="F57" s="15">
        <v>1</v>
      </c>
      <c r="G57" s="82">
        <v>1.0300925925925918E-05</v>
      </c>
      <c r="H57" s="82">
        <v>5.092592592592562E-06</v>
      </c>
      <c r="I57" s="82">
        <v>3.7037037037036813E-06</v>
      </c>
      <c r="J57" s="82">
        <v>4.6296296296296016E-07</v>
      </c>
      <c r="K57" s="82">
        <v>4.409722222222228E-05</v>
      </c>
      <c r="L57" s="82">
        <v>0.0001042824074074071</v>
      </c>
      <c r="M57" s="81"/>
      <c r="N57" s="81"/>
      <c r="O57" s="29"/>
      <c r="Q57" s="32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</row>
    <row r="58" spans="1:15" ht="12.75">
      <c r="A58" s="1">
        <v>35599</v>
      </c>
      <c r="B58" s="53" t="s">
        <v>91</v>
      </c>
      <c r="C58" s="1">
        <v>2</v>
      </c>
      <c r="D58" s="1" t="s">
        <v>41</v>
      </c>
      <c r="E58" s="1" t="s">
        <v>140</v>
      </c>
      <c r="F58" s="1">
        <v>3</v>
      </c>
      <c r="G58" s="79"/>
      <c r="H58" s="79"/>
      <c r="I58" s="78">
        <v>0.00015972222222222234</v>
      </c>
      <c r="J58" s="78">
        <v>1.2152777777777813E-05</v>
      </c>
      <c r="K58" s="79"/>
      <c r="L58" s="79"/>
      <c r="M58" s="79"/>
      <c r="N58" s="79"/>
      <c r="O58" s="36"/>
    </row>
    <row r="59" spans="1:38" s="14" customFormat="1" ht="11.25">
      <c r="A59" s="15">
        <v>35283</v>
      </c>
      <c r="B59" s="16" t="s">
        <v>30</v>
      </c>
      <c r="C59" s="15">
        <v>2</v>
      </c>
      <c r="D59" s="15" t="s">
        <v>8</v>
      </c>
      <c r="E59" s="15" t="s">
        <v>18</v>
      </c>
      <c r="F59" s="15">
        <v>1</v>
      </c>
      <c r="G59" s="81"/>
      <c r="H59" s="81"/>
      <c r="I59" s="81"/>
      <c r="J59" s="81"/>
      <c r="K59" s="81"/>
      <c r="L59" s="81"/>
      <c r="M59" s="81"/>
      <c r="N59" s="81"/>
      <c r="O59" s="29"/>
      <c r="Q59" s="32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</row>
    <row r="60" spans="1:38" s="14" customFormat="1" ht="11.25">
      <c r="A60" s="15">
        <v>35291</v>
      </c>
      <c r="B60" s="16" t="s">
        <v>20</v>
      </c>
      <c r="C60" s="15">
        <v>2</v>
      </c>
      <c r="D60" s="15" t="s">
        <v>8</v>
      </c>
      <c r="E60" s="15" t="s">
        <v>18</v>
      </c>
      <c r="F60" s="15">
        <v>1</v>
      </c>
      <c r="G60" s="81"/>
      <c r="H60" s="81"/>
      <c r="I60" s="82">
        <v>2.893518518518447E-06</v>
      </c>
      <c r="J60" s="82">
        <v>9.953703703703752E-06</v>
      </c>
      <c r="K60" s="82">
        <v>1.2384259259259076E-05</v>
      </c>
      <c r="L60" s="81">
        <v>3.7615740740740405E-05</v>
      </c>
      <c r="M60" s="81">
        <v>4.317129629629549E-05</v>
      </c>
      <c r="N60" s="81"/>
      <c r="O60" s="29"/>
      <c r="Q60" s="32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</row>
    <row r="61" spans="1:38" s="14" customFormat="1" ht="11.25">
      <c r="A61" s="15">
        <v>35330</v>
      </c>
      <c r="B61" s="16" t="s">
        <v>17</v>
      </c>
      <c r="C61" s="15">
        <v>1</v>
      </c>
      <c r="D61" s="15" t="s">
        <v>8</v>
      </c>
      <c r="E61" s="15" t="s">
        <v>18</v>
      </c>
      <c r="F61" s="15">
        <v>1</v>
      </c>
      <c r="G61" s="81"/>
      <c r="H61" s="81"/>
      <c r="I61" s="82">
        <v>2.314814814815885E-07</v>
      </c>
      <c r="J61" s="81">
        <v>1.1574074074074004E-05</v>
      </c>
      <c r="K61" s="82">
        <v>1.2731481481481404E-05</v>
      </c>
      <c r="L61" s="81"/>
      <c r="M61" s="81"/>
      <c r="N61" s="81"/>
      <c r="O61" s="29"/>
      <c r="Q61" s="32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</row>
    <row r="62" spans="1:38" s="14" customFormat="1" ht="11.25">
      <c r="A62" s="15">
        <v>35408</v>
      </c>
      <c r="B62" s="16" t="s">
        <v>19</v>
      </c>
      <c r="C62" s="15">
        <v>2</v>
      </c>
      <c r="D62" s="15" t="s">
        <v>8</v>
      </c>
      <c r="E62" s="15" t="s">
        <v>18</v>
      </c>
      <c r="F62" s="15">
        <v>1</v>
      </c>
      <c r="G62" s="82">
        <v>1.1574074074074004E-07</v>
      </c>
      <c r="H62" s="82">
        <v>3.472222222222201E-07</v>
      </c>
      <c r="I62" s="81">
        <v>9.027777777777777E-06</v>
      </c>
      <c r="J62" s="81">
        <v>2.5694444444444506E-05</v>
      </c>
      <c r="K62" s="81">
        <v>3.796296296296273E-05</v>
      </c>
      <c r="L62" s="81">
        <v>4.8958333333333146E-05</v>
      </c>
      <c r="M62" s="81"/>
      <c r="N62" s="81"/>
      <c r="O62" s="29"/>
      <c r="Q62" s="32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</row>
    <row r="63" spans="1:38" s="14" customFormat="1" ht="11.25">
      <c r="A63" s="15">
        <v>35413</v>
      </c>
      <c r="B63" s="16" t="s">
        <v>37</v>
      </c>
      <c r="C63" s="15">
        <v>2</v>
      </c>
      <c r="D63" s="15" t="s">
        <v>8</v>
      </c>
      <c r="E63" s="15" t="s">
        <v>18</v>
      </c>
      <c r="F63" s="15">
        <v>2</v>
      </c>
      <c r="G63" s="81">
        <v>1.1574074074071294E-07</v>
      </c>
      <c r="H63" s="81">
        <v>4.120370370370367E-05</v>
      </c>
      <c r="I63" s="81">
        <v>6.018518518518482E-06</v>
      </c>
      <c r="J63" s="81">
        <v>1.2152777777777813E-05</v>
      </c>
      <c r="K63" s="81">
        <v>1.898148148148115E-05</v>
      </c>
      <c r="L63" s="81"/>
      <c r="M63" s="81"/>
      <c r="N63" s="81"/>
      <c r="O63" s="29"/>
      <c r="Q63" s="32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</row>
    <row r="64" spans="1:38" s="14" customFormat="1" ht="11.25">
      <c r="A64" s="15">
        <v>35277</v>
      </c>
      <c r="B64" s="16" t="s">
        <v>73</v>
      </c>
      <c r="C64" s="15">
        <v>3</v>
      </c>
      <c r="D64" s="15" t="s">
        <v>41</v>
      </c>
      <c r="E64" s="15" t="s">
        <v>9</v>
      </c>
      <c r="F64" s="15">
        <v>1</v>
      </c>
      <c r="G64" s="82">
        <v>3.3564814814814883E-06</v>
      </c>
      <c r="H64" s="82">
        <v>5.787037037037056E-06</v>
      </c>
      <c r="I64" s="81">
        <v>1.1574074074074004E-07</v>
      </c>
      <c r="J64" s="82">
        <v>1.3425925925925845E-05</v>
      </c>
      <c r="K64" s="82">
        <v>2.4305555555555842E-05</v>
      </c>
      <c r="L64" s="82">
        <v>2.3379629629629705E-05</v>
      </c>
      <c r="M64" s="81"/>
      <c r="N64" s="81"/>
      <c r="O64" s="29"/>
      <c r="Q64" s="32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</row>
    <row r="65" spans="1:38" s="14" customFormat="1" ht="11.25">
      <c r="A65" s="15">
        <v>35346</v>
      </c>
      <c r="B65" s="16" t="s">
        <v>64</v>
      </c>
      <c r="C65" s="15">
        <v>1</v>
      </c>
      <c r="D65" s="15" t="s">
        <v>41</v>
      </c>
      <c r="E65" s="15" t="s">
        <v>9</v>
      </c>
      <c r="F65" s="15">
        <v>1</v>
      </c>
      <c r="G65" s="82">
        <v>3.2407407407407753E-06</v>
      </c>
      <c r="H65" s="82">
        <v>2.0833333333333207E-06</v>
      </c>
      <c r="I65" s="81">
        <v>1.7361111111109922E-06</v>
      </c>
      <c r="J65" s="82">
        <v>3.796296296296295E-05</v>
      </c>
      <c r="K65" s="82">
        <v>5.9374999999999966E-05</v>
      </c>
      <c r="L65" s="82">
        <v>6.65509259259265E-05</v>
      </c>
      <c r="M65" s="81"/>
      <c r="N65" s="81"/>
      <c r="O65" s="29"/>
      <c r="Q65" s="32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</row>
    <row r="66" spans="1:38" s="14" customFormat="1" ht="11.25">
      <c r="A66" s="15">
        <v>35279</v>
      </c>
      <c r="B66" s="16" t="s">
        <v>87</v>
      </c>
      <c r="C66" s="15">
        <v>2</v>
      </c>
      <c r="D66" s="15" t="s">
        <v>41</v>
      </c>
      <c r="E66" s="15" t="s">
        <v>9</v>
      </c>
      <c r="F66" s="15">
        <v>3</v>
      </c>
      <c r="G66" s="82">
        <v>2.0833333333333207E-06</v>
      </c>
      <c r="H66" s="82">
        <v>6.0185185185185905E-06</v>
      </c>
      <c r="I66" s="82">
        <v>4.050925925925901E-06</v>
      </c>
      <c r="J66" s="82">
        <v>5.752314814814834E-05</v>
      </c>
      <c r="K66" s="81"/>
      <c r="L66" s="81"/>
      <c r="M66" s="81"/>
      <c r="N66" s="81"/>
      <c r="O66" s="29"/>
      <c r="Q66" s="32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</row>
    <row r="67" spans="1:38" s="14" customFormat="1" ht="11.25">
      <c r="A67" s="15">
        <v>35220</v>
      </c>
      <c r="B67" s="16" t="s">
        <v>21</v>
      </c>
      <c r="C67" s="15">
        <v>3</v>
      </c>
      <c r="D67" s="15" t="s">
        <v>8</v>
      </c>
      <c r="E67" s="15" t="s">
        <v>9</v>
      </c>
      <c r="F67" s="15">
        <v>1</v>
      </c>
      <c r="G67" s="82">
        <v>4.2824074074073815E-06</v>
      </c>
      <c r="H67" s="82">
        <v>4.976851851851876E-06</v>
      </c>
      <c r="I67" s="82">
        <v>4.398148148148067E-06</v>
      </c>
      <c r="J67" s="82">
        <v>4.513888888888862E-06</v>
      </c>
      <c r="K67" s="82">
        <v>1.1574074074074221E-05</v>
      </c>
      <c r="L67" s="82">
        <v>2.9861111111111147E-05</v>
      </c>
      <c r="M67" s="82">
        <v>5.277777777777659E-05</v>
      </c>
      <c r="N67" s="81">
        <v>6.469907407407466E-05</v>
      </c>
      <c r="O67" s="29"/>
      <c r="Q67" s="32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</row>
    <row r="68" spans="1:38" s="14" customFormat="1" ht="11.25">
      <c r="A68" s="15">
        <v>35290</v>
      </c>
      <c r="B68" s="16" t="s">
        <v>7</v>
      </c>
      <c r="C68" s="15">
        <v>1</v>
      </c>
      <c r="D68" s="15" t="s">
        <v>8</v>
      </c>
      <c r="E68" s="15" t="s">
        <v>9</v>
      </c>
      <c r="F68" s="15">
        <v>1</v>
      </c>
      <c r="G68" s="81">
        <v>4.050925925925942E-06</v>
      </c>
      <c r="H68" s="81">
        <v>1.0069444444444438E-05</v>
      </c>
      <c r="I68" s="81">
        <v>1.2847222222222253E-05</v>
      </c>
      <c r="J68" s="81">
        <v>2.0370370370370247E-05</v>
      </c>
      <c r="K68" s="81">
        <v>2.1875000000000193E-05</v>
      </c>
      <c r="L68" s="81"/>
      <c r="M68" s="81"/>
      <c r="N68" s="81"/>
      <c r="O68" s="29"/>
      <c r="Q68" s="32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</row>
    <row r="69" spans="1:38" s="14" customFormat="1" ht="11.25">
      <c r="A69" s="15">
        <v>35372</v>
      </c>
      <c r="B69" s="16" t="s">
        <v>26</v>
      </c>
      <c r="C69" s="15">
        <v>1</v>
      </c>
      <c r="D69" s="15" t="s">
        <v>8</v>
      </c>
      <c r="E69" s="15" t="s">
        <v>9</v>
      </c>
      <c r="F69" s="15">
        <v>1</v>
      </c>
      <c r="G69" s="81">
        <v>2.430555555555568E-06</v>
      </c>
      <c r="H69" s="81">
        <v>1.7939814814814815E-05</v>
      </c>
      <c r="I69" s="81">
        <v>1.63194444444444E-05</v>
      </c>
      <c r="J69" s="81">
        <v>2.9976851851851887E-05</v>
      </c>
      <c r="K69" s="81">
        <v>7.465277777777765E-05</v>
      </c>
      <c r="L69" s="81">
        <v>2.685185185185169E-05</v>
      </c>
      <c r="M69" s="81"/>
      <c r="N69" s="81"/>
      <c r="O69" s="29"/>
      <c r="Q69" s="32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</row>
    <row r="70" spans="1:38" s="14" customFormat="1" ht="11.25">
      <c r="A70" s="15">
        <v>35311</v>
      </c>
      <c r="B70" s="16" t="s">
        <v>42</v>
      </c>
      <c r="C70" s="15">
        <v>2</v>
      </c>
      <c r="D70" s="15" t="s">
        <v>8</v>
      </c>
      <c r="E70" s="15" t="s">
        <v>9</v>
      </c>
      <c r="F70" s="15">
        <v>3</v>
      </c>
      <c r="G70" s="81"/>
      <c r="H70" s="81"/>
      <c r="I70" s="81">
        <v>8.217592592592651E-06</v>
      </c>
      <c r="J70" s="81">
        <v>2.1527777777777864E-05</v>
      </c>
      <c r="K70" s="82">
        <v>1.8865740740740735E-05</v>
      </c>
      <c r="L70" s="81"/>
      <c r="M70" s="81"/>
      <c r="N70" s="81"/>
      <c r="O70" s="29"/>
      <c r="Q70" s="32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</row>
    <row r="71" spans="1:38" s="14" customFormat="1" ht="11.25">
      <c r="A71" s="15">
        <v>35122</v>
      </c>
      <c r="B71" s="16" t="s">
        <v>10</v>
      </c>
      <c r="C71" s="15">
        <v>1</v>
      </c>
      <c r="D71" s="15" t="s">
        <v>8</v>
      </c>
      <c r="E71" s="15" t="s">
        <v>11</v>
      </c>
      <c r="F71" s="15">
        <v>1</v>
      </c>
      <c r="G71" s="82">
        <v>4.398148148148176E-06</v>
      </c>
      <c r="H71" s="82">
        <v>1.2731481481481513E-05</v>
      </c>
      <c r="I71" s="82">
        <v>1.3310185185185321E-05</v>
      </c>
      <c r="J71" s="82">
        <v>2.6041666666666834E-05</v>
      </c>
      <c r="K71" s="81"/>
      <c r="L71" s="81"/>
      <c r="M71" s="81"/>
      <c r="N71" s="81"/>
      <c r="O71" s="29"/>
      <c r="Q71" s="32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</row>
    <row r="72" spans="1:15" s="14" customFormat="1" ht="11.25">
      <c r="A72" s="14">
        <v>35035</v>
      </c>
      <c r="B72" s="16" t="s">
        <v>22</v>
      </c>
      <c r="D72" s="14" t="s">
        <v>8</v>
      </c>
      <c r="E72" s="14" t="s">
        <v>13</v>
      </c>
      <c r="F72" s="14">
        <v>2</v>
      </c>
      <c r="G72" s="80"/>
      <c r="H72" s="80"/>
      <c r="I72" s="78">
        <v>5.0925925925925076E-06</v>
      </c>
      <c r="J72" s="78">
        <v>1.6782407407407414E-05</v>
      </c>
      <c r="K72" s="78">
        <v>2.9629629629629884E-05</v>
      </c>
      <c r="L72" s="78">
        <v>0.000102199074074074</v>
      </c>
      <c r="M72" s="80"/>
      <c r="N72" s="80"/>
      <c r="O72" s="41"/>
    </row>
    <row r="73" spans="1:15" s="14" customFormat="1" ht="11.25">
      <c r="A73" s="14">
        <v>35037</v>
      </c>
      <c r="B73" s="16" t="s">
        <v>23</v>
      </c>
      <c r="D73" s="14" t="s">
        <v>8</v>
      </c>
      <c r="E73" s="14" t="s">
        <v>13</v>
      </c>
      <c r="F73" s="14">
        <v>2</v>
      </c>
      <c r="G73" s="80"/>
      <c r="H73" s="80"/>
      <c r="I73" s="78">
        <v>8.101851851851803E-06</v>
      </c>
      <c r="J73" s="78">
        <v>3.194444444444447E-05</v>
      </c>
      <c r="K73" s="80">
        <v>1.018518518518534E-05</v>
      </c>
      <c r="L73" s="78">
        <v>3.773148148148147E-05</v>
      </c>
      <c r="M73" s="80"/>
      <c r="N73" s="80"/>
      <c r="O73" s="41"/>
    </row>
    <row r="74" spans="1:15" ht="12.75">
      <c r="A74" s="1">
        <v>35630</v>
      </c>
      <c r="B74" s="33" t="s">
        <v>12</v>
      </c>
      <c r="D74" s="1" t="s">
        <v>8</v>
      </c>
      <c r="E74" s="1" t="s">
        <v>13</v>
      </c>
      <c r="F74" s="1">
        <v>2</v>
      </c>
      <c r="G74" s="79"/>
      <c r="H74" s="79"/>
      <c r="I74" s="79"/>
      <c r="J74" s="79"/>
      <c r="K74" s="79"/>
      <c r="L74" s="79"/>
      <c r="M74" s="79"/>
      <c r="N74" s="79"/>
      <c r="O74" s="35"/>
    </row>
    <row r="75" spans="1:38" s="14" customFormat="1" ht="11.25">
      <c r="A75" s="15">
        <v>35536</v>
      </c>
      <c r="B75" s="16" t="s">
        <v>35</v>
      </c>
      <c r="C75" s="15">
        <v>1</v>
      </c>
      <c r="D75" s="15" t="s">
        <v>8</v>
      </c>
      <c r="E75" s="15" t="s">
        <v>11</v>
      </c>
      <c r="F75" s="15">
        <v>3</v>
      </c>
      <c r="G75" s="81"/>
      <c r="H75" s="81"/>
      <c r="I75" s="82">
        <v>1.5046296296296205E-05</v>
      </c>
      <c r="J75" s="82">
        <v>5.9953703703703775E-05</v>
      </c>
      <c r="K75" s="81"/>
      <c r="L75" s="81"/>
      <c r="M75" s="81"/>
      <c r="N75" s="81"/>
      <c r="O75" s="29"/>
      <c r="Q75" s="32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</row>
    <row r="76" spans="1:15" ht="12.75">
      <c r="A76" s="1">
        <v>35134</v>
      </c>
      <c r="B76" s="33" t="s">
        <v>48</v>
      </c>
      <c r="D76" s="1" t="s">
        <v>8</v>
      </c>
      <c r="E76" s="1" t="s">
        <v>13</v>
      </c>
      <c r="F76" s="1">
        <v>3</v>
      </c>
      <c r="G76" s="79"/>
      <c r="H76" s="79"/>
      <c r="I76" s="78">
        <v>5.902777777777742E-06</v>
      </c>
      <c r="J76" s="79">
        <v>2.881944444444438E-05</v>
      </c>
      <c r="K76" s="79">
        <v>1.8865740740740952E-05</v>
      </c>
      <c r="L76" s="79"/>
      <c r="M76" s="79"/>
      <c r="N76" s="79"/>
      <c r="O76" s="35"/>
    </row>
    <row r="77" spans="1:15" ht="12.75">
      <c r="A77" s="1">
        <v>35198</v>
      </c>
      <c r="B77" s="53" t="s">
        <v>86</v>
      </c>
      <c r="D77" s="1" t="s">
        <v>8</v>
      </c>
      <c r="E77" s="1" t="s">
        <v>13</v>
      </c>
      <c r="F77" s="1">
        <v>6</v>
      </c>
      <c r="G77" s="79">
        <v>5.787037037037002E-07</v>
      </c>
      <c r="H77" s="79"/>
      <c r="I77" s="79">
        <v>1.2731481481481404E-06</v>
      </c>
      <c r="J77" s="79">
        <v>5.324074074074042E-06</v>
      </c>
      <c r="K77" s="79">
        <v>1.1226851851851676E-05</v>
      </c>
      <c r="L77" s="79"/>
      <c r="M77" s="79"/>
      <c r="N77" s="79"/>
      <c r="O77" s="36"/>
    </row>
    <row r="78" spans="1:15" ht="12.75">
      <c r="A78" s="1">
        <v>35524</v>
      </c>
      <c r="B78" s="53" t="s">
        <v>68</v>
      </c>
      <c r="D78" s="1" t="s">
        <v>8</v>
      </c>
      <c r="E78" s="1" t="s">
        <v>13</v>
      </c>
      <c r="F78" s="1" t="s">
        <v>15</v>
      </c>
      <c r="G78" s="79"/>
      <c r="H78" s="79"/>
      <c r="I78" s="79"/>
      <c r="J78" s="79"/>
      <c r="K78" s="79"/>
      <c r="L78" s="79"/>
      <c r="M78" s="79"/>
      <c r="N78" s="79"/>
      <c r="O78" s="36"/>
    </row>
    <row r="79" spans="1:38" s="14" customFormat="1" ht="11.25">
      <c r="A79" s="15">
        <v>35349</v>
      </c>
      <c r="B79" s="16" t="s">
        <v>24</v>
      </c>
      <c r="C79" s="15"/>
      <c r="D79" s="15" t="s">
        <v>8</v>
      </c>
      <c r="E79" s="15" t="s">
        <v>25</v>
      </c>
      <c r="F79" s="15">
        <v>2</v>
      </c>
      <c r="G79" s="81"/>
      <c r="H79" s="81"/>
      <c r="I79" s="82">
        <v>1.68981481481481E-05</v>
      </c>
      <c r="J79" s="82">
        <v>3.356481481481461E-05</v>
      </c>
      <c r="K79" s="82">
        <v>5.0231481481481394E-05</v>
      </c>
      <c r="L79" s="82">
        <v>7.870370370370323E-06</v>
      </c>
      <c r="M79" s="82">
        <v>0.000104629629629629</v>
      </c>
      <c r="N79" s="81"/>
      <c r="O79" s="29"/>
      <c r="Q79" s="32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</row>
    <row r="80" spans="1:38" s="14" customFormat="1" ht="11.25">
      <c r="A80" s="15">
        <v>35020</v>
      </c>
      <c r="B80" s="16" t="s">
        <v>38</v>
      </c>
      <c r="C80" s="15"/>
      <c r="D80" s="15" t="s">
        <v>8</v>
      </c>
      <c r="E80" s="15" t="s">
        <v>25</v>
      </c>
      <c r="F80" s="15">
        <v>4</v>
      </c>
      <c r="G80" s="81"/>
      <c r="H80" s="81"/>
      <c r="I80" s="82">
        <v>4.016203703703712E-05</v>
      </c>
      <c r="J80" s="82">
        <v>6.89814814814815E-05</v>
      </c>
      <c r="K80" s="82">
        <v>0.00011898148148148163</v>
      </c>
      <c r="L80" s="82">
        <v>0.00029988425925925885</v>
      </c>
      <c r="M80" s="81"/>
      <c r="N80" s="82">
        <v>0.0009896990740740717</v>
      </c>
      <c r="O80" s="29"/>
      <c r="Q80" s="32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</row>
    <row r="81" spans="1:15" s="14" customFormat="1" ht="11.25">
      <c r="A81" s="14">
        <v>35092</v>
      </c>
      <c r="B81" s="16" t="s">
        <v>46</v>
      </c>
      <c r="D81" s="14" t="s">
        <v>8</v>
      </c>
      <c r="E81" s="14" t="s">
        <v>25</v>
      </c>
      <c r="F81" s="14">
        <v>4</v>
      </c>
      <c r="G81" s="80">
        <v>1.1574074074074004E-07</v>
      </c>
      <c r="H81" s="80"/>
      <c r="I81" s="78">
        <v>2.3148148148149092E-06</v>
      </c>
      <c r="J81" s="78">
        <v>6.828703703703771E-06</v>
      </c>
      <c r="K81" s="78">
        <v>2.0717592592592792E-05</v>
      </c>
      <c r="L81" s="80">
        <v>4.201388888888874E-05</v>
      </c>
      <c r="M81" s="80"/>
      <c r="N81" s="80"/>
      <c r="O81" s="41"/>
    </row>
    <row r="82" spans="1:38" s="14" customFormat="1" ht="11.25">
      <c r="A82" s="15">
        <v>35031</v>
      </c>
      <c r="B82" s="16" t="s">
        <v>71</v>
      </c>
      <c r="C82" s="15"/>
      <c r="D82" s="15" t="s">
        <v>8</v>
      </c>
      <c r="E82" s="15" t="s">
        <v>25</v>
      </c>
      <c r="F82" s="15">
        <v>5</v>
      </c>
      <c r="G82" s="81"/>
      <c r="H82" s="81"/>
      <c r="I82" s="82">
        <v>7.638888888888843E-06</v>
      </c>
      <c r="J82" s="82">
        <v>1.6435185185185086E-05</v>
      </c>
      <c r="K82" s="81"/>
      <c r="L82" s="81"/>
      <c r="M82" s="81"/>
      <c r="N82" s="81"/>
      <c r="O82" s="29"/>
      <c r="Q82" s="32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</row>
    <row r="83" spans="1:15" ht="12.75">
      <c r="A83" s="1">
        <v>35197</v>
      </c>
      <c r="B83" s="33" t="s">
        <v>90</v>
      </c>
      <c r="D83" s="15" t="s">
        <v>8</v>
      </c>
      <c r="E83" s="15" t="s">
        <v>25</v>
      </c>
      <c r="F83" s="1">
        <v>6</v>
      </c>
      <c r="G83" s="79">
        <v>4.976851851851876E-06</v>
      </c>
      <c r="H83" s="79"/>
      <c r="I83" s="78">
        <v>3.4722222222232854E-07</v>
      </c>
      <c r="J83" s="78">
        <v>8.680555555555611E-06</v>
      </c>
      <c r="K83" s="79">
        <v>3.3564814814817864E-06</v>
      </c>
      <c r="L83" s="79"/>
      <c r="M83" s="79"/>
      <c r="N83" s="79"/>
      <c r="O83" s="36"/>
    </row>
    <row r="84" spans="1:15" ht="12.75">
      <c r="A84" s="1">
        <v>35194</v>
      </c>
      <c r="B84" s="33" t="s">
        <v>111</v>
      </c>
      <c r="D84" s="1" t="s">
        <v>8</v>
      </c>
      <c r="E84" s="1" t="s">
        <v>13</v>
      </c>
      <c r="F84" s="1" t="s">
        <v>15</v>
      </c>
      <c r="G84" s="18"/>
      <c r="H84" s="18"/>
      <c r="I84" s="79">
        <v>1.157407407407292E-06</v>
      </c>
      <c r="J84" s="78">
        <v>1.2384259259259293E-05</v>
      </c>
      <c r="K84" s="37"/>
      <c r="L84" s="37"/>
      <c r="M84" s="75"/>
      <c r="N84" s="18"/>
      <c r="O84" s="36"/>
    </row>
    <row r="85" spans="1:14" ht="12.75">
      <c r="A85" s="1">
        <v>35245</v>
      </c>
      <c r="B85" s="33" t="s">
        <v>34</v>
      </c>
      <c r="C85" s="1">
        <v>3</v>
      </c>
      <c r="D85" s="1" t="s">
        <v>8</v>
      </c>
      <c r="E85" s="1" t="s">
        <v>9</v>
      </c>
      <c r="F85" s="1" t="s">
        <v>15</v>
      </c>
      <c r="G85" s="18"/>
      <c r="H85" s="18"/>
      <c r="I85" s="78">
        <v>2.91666666666666E-05</v>
      </c>
      <c r="J85" s="79"/>
      <c r="K85" s="37"/>
      <c r="L85" s="37"/>
      <c r="M85" s="75"/>
      <c r="N85" s="18"/>
    </row>
    <row r="86" spans="1:15" ht="12.75">
      <c r="A86" s="1">
        <v>35373</v>
      </c>
      <c r="B86" s="33" t="s">
        <v>153</v>
      </c>
      <c r="D86" s="1" t="s">
        <v>8</v>
      </c>
      <c r="E86" s="1" t="s">
        <v>25</v>
      </c>
      <c r="F86" s="1" t="s">
        <v>15</v>
      </c>
      <c r="G86" s="18"/>
      <c r="H86" s="18"/>
      <c r="I86" s="79">
        <v>5.787037037037002E-07</v>
      </c>
      <c r="J86" s="78">
        <v>3.3564814814817864E-06</v>
      </c>
      <c r="K86" s="37"/>
      <c r="L86" s="37"/>
      <c r="M86" s="75"/>
      <c r="N86" s="18"/>
      <c r="O86" s="36"/>
    </row>
    <row r="87" spans="1:15" ht="12.75">
      <c r="A87" s="1">
        <v>35433</v>
      </c>
      <c r="B87" s="33" t="s">
        <v>159</v>
      </c>
      <c r="D87" s="15" t="s">
        <v>8</v>
      </c>
      <c r="E87" s="15" t="s">
        <v>25</v>
      </c>
      <c r="F87" s="1" t="s">
        <v>15</v>
      </c>
      <c r="G87" s="18"/>
      <c r="H87" s="18"/>
      <c r="I87" s="78">
        <v>3.229166666666658E-05</v>
      </c>
      <c r="J87" s="78">
        <v>8.310185185185157E-05</v>
      </c>
      <c r="K87" s="37"/>
      <c r="L87" s="37"/>
      <c r="M87" s="75"/>
      <c r="N87" s="18"/>
      <c r="O87" s="36"/>
    </row>
    <row r="88" spans="1:15" ht="12.75">
      <c r="A88" s="1">
        <v>35453</v>
      </c>
      <c r="B88" s="33" t="s">
        <v>154</v>
      </c>
      <c r="D88" s="15" t="s">
        <v>8</v>
      </c>
      <c r="E88" s="15" t="s">
        <v>25</v>
      </c>
      <c r="F88" s="1" t="s">
        <v>15</v>
      </c>
      <c r="G88" s="18"/>
      <c r="H88" s="18"/>
      <c r="I88" s="78">
        <v>1.655092592592615E-05</v>
      </c>
      <c r="J88" s="78">
        <v>6.481481481481486E-05</v>
      </c>
      <c r="K88" s="37"/>
      <c r="L88" s="37"/>
      <c r="M88" s="75"/>
      <c r="N88" s="18"/>
      <c r="O88" s="36"/>
    </row>
    <row r="89" spans="1:15" ht="12.75">
      <c r="A89" s="1">
        <v>35528</v>
      </c>
      <c r="B89" s="33" t="s">
        <v>108</v>
      </c>
      <c r="D89" s="15" t="s">
        <v>8</v>
      </c>
      <c r="E89" s="1" t="s">
        <v>13</v>
      </c>
      <c r="F89" s="1" t="s">
        <v>15</v>
      </c>
      <c r="G89" s="18"/>
      <c r="H89" s="18"/>
      <c r="I89" s="78">
        <v>1.5162037037037054E-05</v>
      </c>
      <c r="J89" s="78">
        <v>5.0231481481481394E-05</v>
      </c>
      <c r="K89" s="37"/>
      <c r="L89" s="37"/>
      <c r="M89" s="75"/>
      <c r="N89" s="18"/>
      <c r="O89" s="36"/>
    </row>
    <row r="90" spans="1:15" ht="12.75">
      <c r="A90" s="1">
        <v>35573</v>
      </c>
      <c r="B90" s="33" t="s">
        <v>78</v>
      </c>
      <c r="D90" s="1" t="s">
        <v>8</v>
      </c>
      <c r="E90" s="1" t="s">
        <v>25</v>
      </c>
      <c r="F90" s="1" t="s">
        <v>15</v>
      </c>
      <c r="G90" s="18"/>
      <c r="H90" s="18"/>
      <c r="I90" s="78">
        <v>2.3032407407407485E-05</v>
      </c>
      <c r="J90" s="78">
        <v>8.182870370370397E-05</v>
      </c>
      <c r="K90" s="37"/>
      <c r="L90" s="37"/>
      <c r="M90" s="75"/>
      <c r="N90" s="18"/>
      <c r="O90" s="36"/>
    </row>
    <row r="91" spans="1:15" ht="12.75">
      <c r="A91" s="1">
        <v>35577</v>
      </c>
      <c r="B91" s="33" t="s">
        <v>158</v>
      </c>
      <c r="D91" s="1" t="s">
        <v>8</v>
      </c>
      <c r="E91" s="1" t="s">
        <v>25</v>
      </c>
      <c r="F91" s="1" t="s">
        <v>15</v>
      </c>
      <c r="G91" s="18"/>
      <c r="H91" s="18"/>
      <c r="I91" s="78">
        <v>4.513888888888905E-05</v>
      </c>
      <c r="J91" s="79"/>
      <c r="K91" s="37"/>
      <c r="L91" s="37"/>
      <c r="M91" s="75"/>
      <c r="N91" s="18"/>
      <c r="O91" s="36"/>
    </row>
    <row r="92" spans="1:15" ht="12.75">
      <c r="A92" s="1">
        <v>35592</v>
      </c>
      <c r="B92" s="33" t="s">
        <v>146</v>
      </c>
      <c r="D92" s="1" t="s">
        <v>8</v>
      </c>
      <c r="E92" s="1" t="s">
        <v>25</v>
      </c>
      <c r="F92" s="1" t="s">
        <v>15</v>
      </c>
      <c r="G92" s="18"/>
      <c r="H92" s="18"/>
      <c r="I92" s="79">
        <v>3.379629629629631E-05</v>
      </c>
      <c r="J92" s="79">
        <v>0.0001371527777777777</v>
      </c>
      <c r="K92" s="37"/>
      <c r="L92" s="37"/>
      <c r="M92" s="75"/>
      <c r="N92" s="18"/>
      <c r="O92" s="36"/>
    </row>
  </sheetData>
  <printOptions gridLines="1"/>
  <pageMargins left="0.5" right="0.26" top="0.76" bottom="0.47" header="0.5" footer="0.5"/>
  <pageSetup orientation="landscape" paperSize="9" r:id="rId1"/>
  <headerFooter alignWithMargins="0">
    <oddHeader>&amp;C&amp;A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BJ147"/>
  <sheetViews>
    <sheetView workbookViewId="0" topLeftCell="A1">
      <pane xSplit="7" ySplit="2" topLeftCell="H3" activePane="bottomRight" state="frozen"/>
      <selection pane="topLeft" activeCell="A1" sqref="A1"/>
      <selection pane="topRight" activeCell="H1" sqref="H1"/>
      <selection pane="bottomLeft" activeCell="A3" sqref="A3"/>
      <selection pane="bottomRight" activeCell="HQ34" sqref="HQ33:HQ34"/>
    </sheetView>
  </sheetViews>
  <sheetFormatPr defaultColWidth="9.140625" defaultRowHeight="12.75"/>
  <cols>
    <col min="1" max="1" width="3.57421875" style="1" customWidth="1"/>
    <col min="2" max="2" width="7.57421875" style="1" customWidth="1"/>
    <col min="3" max="3" width="20.28125" style="33" customWidth="1"/>
    <col min="4" max="4" width="4.140625" style="1" customWidth="1"/>
    <col min="5" max="5" width="4.57421875" style="1" customWidth="1"/>
    <col min="6" max="6" width="6.421875" style="1" customWidth="1"/>
    <col min="7" max="7" width="4.140625" style="1" customWidth="1"/>
    <col min="8" max="8" width="10.57421875" style="18" customWidth="1"/>
    <col min="9" max="9" width="9.140625" style="18" customWidth="1"/>
    <col min="10" max="15" width="9.140625" style="11" customWidth="1"/>
    <col min="16" max="16" width="9.7109375" style="11" customWidth="1"/>
    <col min="17" max="17" width="6.7109375" style="47" customWidth="1"/>
    <col min="18" max="18" width="6.7109375" style="1" customWidth="1"/>
    <col min="19" max="19" width="8.140625" style="52" customWidth="1"/>
    <col min="20" max="20" width="6.7109375" style="49" customWidth="1"/>
    <col min="21" max="21" width="8.421875" style="52" customWidth="1"/>
    <col min="22" max="22" width="7.28125" style="18" customWidth="1"/>
    <col min="23" max="23" width="8.57421875" style="52" customWidth="1"/>
    <col min="24" max="24" width="6.7109375" style="37" customWidth="1"/>
    <col min="25" max="25" width="8.8515625" style="52" customWidth="1"/>
    <col min="26" max="26" width="7.28125" style="37" customWidth="1"/>
    <col min="27" max="27" width="9.140625" style="52" customWidth="1"/>
    <col min="28" max="28" width="9.140625" style="37" customWidth="1"/>
    <col min="29" max="29" width="9.140625" style="50" customWidth="1"/>
    <col min="30" max="30" width="8.421875" style="35" customWidth="1"/>
    <col min="31" max="31" width="9.140625" style="50" customWidth="1"/>
    <col min="32" max="33" width="9.140625" style="11" customWidth="1"/>
    <col min="35" max="35" width="9.140625" style="51" customWidth="1"/>
    <col min="36" max="41" width="9.140625" style="11" customWidth="1"/>
    <col min="50" max="16384" width="9.140625" style="11" customWidth="1"/>
  </cols>
  <sheetData>
    <row r="1" spans="2:62" ht="12.75">
      <c r="B1" s="2"/>
      <c r="C1" s="3" t="s">
        <v>0</v>
      </c>
      <c r="D1" s="4" t="s">
        <v>1</v>
      </c>
      <c r="E1" s="2"/>
      <c r="F1" s="4" t="s">
        <v>2</v>
      </c>
      <c r="G1" s="4" t="s">
        <v>3</v>
      </c>
      <c r="H1" s="2"/>
      <c r="I1" s="2"/>
      <c r="J1" s="5"/>
      <c r="K1" s="5"/>
      <c r="L1" s="5"/>
      <c r="M1" s="5"/>
      <c r="N1" s="5"/>
      <c r="O1" s="5"/>
      <c r="P1" s="204"/>
      <c r="Q1" s="6"/>
      <c r="R1" s="4"/>
      <c r="S1" s="6"/>
      <c r="T1" s="7"/>
      <c r="U1" s="6"/>
      <c r="V1" s="8"/>
      <c r="W1" s="6"/>
      <c r="X1" s="9"/>
      <c r="Y1" s="6"/>
      <c r="Z1" s="9"/>
      <c r="AA1" s="6"/>
      <c r="AB1" s="9"/>
      <c r="AC1" s="6"/>
      <c r="AD1" s="9"/>
      <c r="AE1" s="6"/>
      <c r="AF1" s="4"/>
      <c r="AG1" s="4"/>
      <c r="AI1" s="10"/>
      <c r="AJ1" s="5"/>
      <c r="AK1" s="5"/>
      <c r="AL1" s="5"/>
      <c r="AM1" s="5"/>
      <c r="AN1" s="5"/>
      <c r="AO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</row>
    <row r="2" spans="2:62" ht="12.75">
      <c r="B2" s="2"/>
      <c r="C2" s="3"/>
      <c r="D2" s="4"/>
      <c r="E2" s="2"/>
      <c r="F2" s="12"/>
      <c r="G2" s="12"/>
      <c r="H2" s="2"/>
      <c r="I2" s="2"/>
      <c r="J2" s="5"/>
      <c r="K2" s="5"/>
      <c r="L2" s="5"/>
      <c r="M2" s="5"/>
      <c r="N2" s="5"/>
      <c r="O2" s="5"/>
      <c r="P2" s="204"/>
      <c r="Q2" s="6"/>
      <c r="R2" s="7"/>
      <c r="S2" s="6"/>
      <c r="T2" s="7"/>
      <c r="U2" s="6"/>
      <c r="V2" s="7"/>
      <c r="W2" s="6"/>
      <c r="X2" s="7"/>
      <c r="Y2" s="6"/>
      <c r="Z2" s="7"/>
      <c r="AA2" s="6"/>
      <c r="AB2" s="7"/>
      <c r="AC2" s="6"/>
      <c r="AD2" s="7"/>
      <c r="AE2" s="6"/>
      <c r="AF2" s="7"/>
      <c r="AG2" s="7"/>
      <c r="AI2" s="10"/>
      <c r="AJ2" s="13"/>
      <c r="AK2" s="13"/>
      <c r="AL2" s="13"/>
      <c r="AM2" s="13"/>
      <c r="AN2" s="5"/>
      <c r="AO2" s="5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</row>
    <row r="3" spans="1:62" s="14" customFormat="1" ht="11.25">
      <c r="A3" s="14">
        <v>1</v>
      </c>
      <c r="B3" s="15">
        <v>35421</v>
      </c>
      <c r="C3" s="16" t="s">
        <v>59</v>
      </c>
      <c r="D3" s="15">
        <v>1</v>
      </c>
      <c r="E3" s="15" t="s">
        <v>41</v>
      </c>
      <c r="F3" s="15" t="s">
        <v>18</v>
      </c>
      <c r="G3" s="15">
        <v>1</v>
      </c>
      <c r="H3" s="18"/>
      <c r="I3" s="18"/>
      <c r="J3" s="34"/>
      <c r="K3" s="35"/>
      <c r="L3" s="20"/>
      <c r="M3" s="20"/>
      <c r="N3" s="21"/>
      <c r="O3" s="21"/>
      <c r="P3" s="22"/>
      <c r="Q3" s="23"/>
      <c r="R3" s="24"/>
      <c r="S3" s="25"/>
      <c r="T3" s="24"/>
      <c r="U3" s="25"/>
      <c r="V3" s="24"/>
      <c r="W3" s="26"/>
      <c r="X3" s="27"/>
      <c r="Y3" s="26"/>
      <c r="Z3" s="27"/>
      <c r="AA3" s="26"/>
      <c r="AB3" s="27"/>
      <c r="AC3" s="28"/>
      <c r="AD3" s="29"/>
      <c r="AE3" s="28"/>
      <c r="AF3" s="29"/>
      <c r="AG3" s="29"/>
      <c r="AI3" s="30"/>
      <c r="AJ3" s="22"/>
      <c r="AK3" s="22"/>
      <c r="AL3" s="22"/>
      <c r="AM3" s="31"/>
      <c r="AN3" s="22"/>
      <c r="AO3" s="32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</row>
    <row r="4" spans="1:40" ht="12.75">
      <c r="A4" s="1">
        <v>1</v>
      </c>
      <c r="B4" s="1">
        <v>35595</v>
      </c>
      <c r="C4" s="53" t="s">
        <v>84</v>
      </c>
      <c r="D4" s="1">
        <v>1</v>
      </c>
      <c r="E4" s="1" t="s">
        <v>41</v>
      </c>
      <c r="F4" s="1" t="s">
        <v>18</v>
      </c>
      <c r="G4" s="1">
        <v>3</v>
      </c>
      <c r="J4" s="34"/>
      <c r="K4" s="35"/>
      <c r="L4" s="35"/>
      <c r="M4" s="35"/>
      <c r="N4" s="36"/>
      <c r="O4" s="36"/>
      <c r="P4" s="22"/>
      <c r="Q4" s="23"/>
      <c r="R4" s="42"/>
      <c r="S4" s="23"/>
      <c r="T4" s="42"/>
      <c r="U4" s="23"/>
      <c r="V4" s="42"/>
      <c r="W4" s="26"/>
      <c r="X4" s="27"/>
      <c r="Y4" s="43"/>
      <c r="Z4" s="44"/>
      <c r="AB4" s="54"/>
      <c r="AC4" s="46"/>
      <c r="AD4" s="36"/>
      <c r="AE4" s="46"/>
      <c r="AF4" s="36"/>
      <c r="AG4" s="36"/>
      <c r="AI4" s="30"/>
      <c r="AJ4" s="22"/>
      <c r="AK4" s="22"/>
      <c r="AL4" s="22"/>
      <c r="AM4" s="31"/>
      <c r="AN4" s="22"/>
    </row>
    <row r="5" spans="1:62" s="14" customFormat="1" ht="11.25">
      <c r="A5" s="14">
        <v>1</v>
      </c>
      <c r="B5" s="15">
        <v>35334</v>
      </c>
      <c r="C5" s="16" t="s">
        <v>89</v>
      </c>
      <c r="D5" s="15">
        <v>1</v>
      </c>
      <c r="E5" s="15" t="s">
        <v>41</v>
      </c>
      <c r="F5" s="15" t="s">
        <v>18</v>
      </c>
      <c r="G5" s="15">
        <v>3</v>
      </c>
      <c r="H5" s="18"/>
      <c r="I5" s="18"/>
      <c r="J5" s="34"/>
      <c r="K5" s="35"/>
      <c r="L5" s="20"/>
      <c r="M5" s="20"/>
      <c r="N5" s="21"/>
      <c r="O5" s="21"/>
      <c r="P5" s="22"/>
      <c r="Q5" s="25"/>
      <c r="R5" s="24"/>
      <c r="S5" s="25"/>
      <c r="T5" s="24"/>
      <c r="U5" s="25"/>
      <c r="V5" s="24"/>
      <c r="W5" s="26"/>
      <c r="X5" s="27"/>
      <c r="Y5" s="26"/>
      <c r="Z5" s="27"/>
      <c r="AA5" s="26"/>
      <c r="AB5" s="27"/>
      <c r="AC5" s="28"/>
      <c r="AD5" s="29"/>
      <c r="AE5" s="28"/>
      <c r="AF5" s="29"/>
      <c r="AG5" s="29"/>
      <c r="AI5" s="30"/>
      <c r="AJ5" s="22"/>
      <c r="AK5" s="22"/>
      <c r="AL5" s="22"/>
      <c r="AM5" s="31"/>
      <c r="AN5" s="22"/>
      <c r="AO5" s="32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</row>
    <row r="6" spans="1:62" s="14" customFormat="1" ht="11.25">
      <c r="A6" s="14">
        <v>1</v>
      </c>
      <c r="B6" s="15">
        <v>35530</v>
      </c>
      <c r="C6" s="16" t="s">
        <v>55</v>
      </c>
      <c r="D6" s="15">
        <v>1</v>
      </c>
      <c r="E6" s="15" t="s">
        <v>8</v>
      </c>
      <c r="F6" s="15" t="s">
        <v>18</v>
      </c>
      <c r="G6" s="15">
        <v>3</v>
      </c>
      <c r="H6" s="18"/>
      <c r="I6" s="18"/>
      <c r="J6" s="34"/>
      <c r="K6" s="35"/>
      <c r="L6" s="20"/>
      <c r="M6" s="20"/>
      <c r="N6" s="21"/>
      <c r="O6" s="21"/>
      <c r="P6" s="22"/>
      <c r="Q6" s="23"/>
      <c r="R6" s="24"/>
      <c r="S6" s="25"/>
      <c r="T6" s="24"/>
      <c r="U6" s="25"/>
      <c r="V6" s="24"/>
      <c r="W6" s="26"/>
      <c r="X6" s="27"/>
      <c r="Y6" s="26"/>
      <c r="Z6" s="27"/>
      <c r="AA6" s="26"/>
      <c r="AB6" s="27"/>
      <c r="AC6" s="28"/>
      <c r="AD6" s="29"/>
      <c r="AE6" s="28"/>
      <c r="AF6" s="29"/>
      <c r="AG6" s="29"/>
      <c r="AI6" s="30"/>
      <c r="AJ6" s="22"/>
      <c r="AK6" s="22"/>
      <c r="AL6" s="22"/>
      <c r="AM6" s="31"/>
      <c r="AN6" s="22"/>
      <c r="AO6" s="32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</row>
    <row r="7" spans="1:40" ht="12.75">
      <c r="A7" s="1">
        <v>1</v>
      </c>
      <c r="B7" s="1">
        <v>35586</v>
      </c>
      <c r="C7" s="53" t="s">
        <v>57</v>
      </c>
      <c r="D7" s="1">
        <v>1</v>
      </c>
      <c r="E7" s="1" t="s">
        <v>8</v>
      </c>
      <c r="F7" s="1" t="s">
        <v>18</v>
      </c>
      <c r="G7" s="1">
        <v>3</v>
      </c>
      <c r="J7" s="34"/>
      <c r="K7" s="35"/>
      <c r="L7" s="35"/>
      <c r="M7" s="35"/>
      <c r="N7" s="36"/>
      <c r="O7" s="36"/>
      <c r="P7" s="22"/>
      <c r="Q7" s="23"/>
      <c r="R7" s="42"/>
      <c r="S7" s="23"/>
      <c r="T7" s="42"/>
      <c r="U7" s="23"/>
      <c r="V7" s="42"/>
      <c r="W7" s="43"/>
      <c r="X7" s="44"/>
      <c r="Y7" s="43"/>
      <c r="Z7" s="44"/>
      <c r="AC7" s="46"/>
      <c r="AD7" s="36"/>
      <c r="AE7" s="46"/>
      <c r="AF7" s="36"/>
      <c r="AG7" s="36"/>
      <c r="AI7" s="30"/>
      <c r="AJ7" s="22"/>
      <c r="AK7" s="22"/>
      <c r="AL7" s="22"/>
      <c r="AM7" s="31"/>
      <c r="AN7" s="22"/>
    </row>
    <row r="8" spans="1:62" s="14" customFormat="1" ht="11.25">
      <c r="A8" s="14">
        <v>1</v>
      </c>
      <c r="B8" s="15">
        <v>35330</v>
      </c>
      <c r="C8" s="16" t="s">
        <v>17</v>
      </c>
      <c r="D8" s="15">
        <v>2</v>
      </c>
      <c r="E8" s="15" t="s">
        <v>8</v>
      </c>
      <c r="F8" s="15" t="s">
        <v>18</v>
      </c>
      <c r="G8" s="15">
        <v>1</v>
      </c>
      <c r="H8" s="18"/>
      <c r="I8" s="18"/>
      <c r="J8" s="19"/>
      <c r="K8" s="20"/>
      <c r="L8" s="20"/>
      <c r="M8" s="20"/>
      <c r="N8" s="21"/>
      <c r="O8" s="21"/>
      <c r="P8" s="22"/>
      <c r="Q8" s="25"/>
      <c r="R8" s="24"/>
      <c r="S8" s="25"/>
      <c r="T8" s="24"/>
      <c r="U8" s="25"/>
      <c r="V8" s="24"/>
      <c r="W8" s="26"/>
      <c r="X8" s="27"/>
      <c r="Y8" s="26"/>
      <c r="Z8" s="27"/>
      <c r="AA8" s="26"/>
      <c r="AB8" s="27"/>
      <c r="AC8" s="28"/>
      <c r="AD8" s="29"/>
      <c r="AE8" s="28"/>
      <c r="AF8" s="29"/>
      <c r="AG8" s="29"/>
      <c r="AI8" s="30"/>
      <c r="AJ8" s="22"/>
      <c r="AK8" s="22"/>
      <c r="AL8" s="22"/>
      <c r="AM8" s="31"/>
      <c r="AN8" s="22"/>
      <c r="AO8" s="32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</row>
    <row r="9" spans="1:40" ht="12.75">
      <c r="A9" s="1">
        <v>1</v>
      </c>
      <c r="B9" s="1">
        <v>35557</v>
      </c>
      <c r="C9" s="33" t="s">
        <v>62</v>
      </c>
      <c r="D9" s="1">
        <v>1</v>
      </c>
      <c r="E9" s="1" t="s">
        <v>41</v>
      </c>
      <c r="F9" s="1" t="s">
        <v>28</v>
      </c>
      <c r="G9" s="1">
        <v>1</v>
      </c>
      <c r="J9" s="34"/>
      <c r="K9" s="35"/>
      <c r="L9" s="35"/>
      <c r="M9" s="35"/>
      <c r="N9" s="36"/>
      <c r="O9" s="36"/>
      <c r="P9" s="22"/>
      <c r="Q9" s="23"/>
      <c r="R9" s="42"/>
      <c r="S9" s="23"/>
      <c r="T9" s="42"/>
      <c r="U9" s="23"/>
      <c r="V9" s="42"/>
      <c r="W9" s="43"/>
      <c r="X9" s="44"/>
      <c r="Y9" s="43"/>
      <c r="Z9" s="44"/>
      <c r="AC9" s="46"/>
      <c r="AD9" s="36"/>
      <c r="AE9" s="46"/>
      <c r="AF9" s="36"/>
      <c r="AG9" s="36"/>
      <c r="AI9" s="30"/>
      <c r="AJ9" s="22"/>
      <c r="AK9" s="22"/>
      <c r="AL9" s="22"/>
      <c r="AM9" s="31"/>
      <c r="AN9" s="22"/>
    </row>
    <row r="10" spans="1:62" s="14" customFormat="1" ht="11.25">
      <c r="A10" s="14">
        <v>1</v>
      </c>
      <c r="B10" s="15">
        <v>35422</v>
      </c>
      <c r="C10" s="16" t="s">
        <v>45</v>
      </c>
      <c r="D10" s="15">
        <v>2</v>
      </c>
      <c r="E10" s="15" t="s">
        <v>41</v>
      </c>
      <c r="F10" s="15" t="s">
        <v>28</v>
      </c>
      <c r="G10" s="15">
        <v>1</v>
      </c>
      <c r="H10" s="18"/>
      <c r="I10" s="18"/>
      <c r="J10" s="34"/>
      <c r="K10" s="35"/>
      <c r="L10" s="20"/>
      <c r="M10" s="20"/>
      <c r="N10" s="21"/>
      <c r="O10" s="21"/>
      <c r="P10" s="22"/>
      <c r="Q10" s="25"/>
      <c r="R10" s="24"/>
      <c r="S10" s="25"/>
      <c r="T10" s="24"/>
      <c r="U10" s="25"/>
      <c r="V10" s="24"/>
      <c r="W10" s="26"/>
      <c r="X10" s="27"/>
      <c r="Y10" s="26"/>
      <c r="Z10" s="27"/>
      <c r="AA10" s="26"/>
      <c r="AB10" s="27"/>
      <c r="AC10" s="28"/>
      <c r="AD10" s="29"/>
      <c r="AE10" s="28"/>
      <c r="AF10" s="29"/>
      <c r="AG10" s="29"/>
      <c r="AI10" s="30"/>
      <c r="AJ10" s="22"/>
      <c r="AK10" s="22"/>
      <c r="AL10" s="22"/>
      <c r="AM10" s="31"/>
      <c r="AN10" s="22"/>
      <c r="AO10" s="32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</row>
    <row r="11" spans="1:62" s="14" customFormat="1" ht="11.25">
      <c r="A11" s="14">
        <v>1</v>
      </c>
      <c r="B11" s="15">
        <v>35423</v>
      </c>
      <c r="C11" s="16" t="s">
        <v>74</v>
      </c>
      <c r="D11" s="15">
        <v>2</v>
      </c>
      <c r="E11" s="15" t="s">
        <v>41</v>
      </c>
      <c r="F11" s="15" t="s">
        <v>28</v>
      </c>
      <c r="G11" s="15">
        <v>2</v>
      </c>
      <c r="H11" s="18"/>
      <c r="I11" s="18"/>
      <c r="J11" s="34"/>
      <c r="K11" s="35"/>
      <c r="L11" s="20"/>
      <c r="M11" s="20"/>
      <c r="N11" s="21"/>
      <c r="O11" s="21"/>
      <c r="P11" s="22"/>
      <c r="Q11" s="23"/>
      <c r="R11" s="24"/>
      <c r="S11" s="25"/>
      <c r="T11" s="24"/>
      <c r="U11" s="25"/>
      <c r="V11" s="24"/>
      <c r="W11" s="26"/>
      <c r="X11" s="27"/>
      <c r="Y11" s="26"/>
      <c r="Z11" s="27"/>
      <c r="AA11" s="26"/>
      <c r="AB11" s="27"/>
      <c r="AC11" s="28"/>
      <c r="AD11" s="29"/>
      <c r="AE11" s="28"/>
      <c r="AF11" s="29"/>
      <c r="AG11" s="29"/>
      <c r="AI11" s="30"/>
      <c r="AJ11" s="22"/>
      <c r="AK11" s="22"/>
      <c r="AL11" s="22"/>
      <c r="AM11" s="31"/>
      <c r="AN11" s="22"/>
      <c r="AO11" s="32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</row>
    <row r="12" spans="1:40" ht="12.75">
      <c r="A12" s="1">
        <v>1</v>
      </c>
      <c r="B12" s="1">
        <v>35558</v>
      </c>
      <c r="C12" s="33" t="s">
        <v>66</v>
      </c>
      <c r="D12" s="1">
        <v>2</v>
      </c>
      <c r="E12" s="1" t="s">
        <v>41</v>
      </c>
      <c r="F12" s="15" t="s">
        <v>28</v>
      </c>
      <c r="G12" s="1">
        <v>1</v>
      </c>
      <c r="J12" s="34"/>
      <c r="K12" s="35"/>
      <c r="L12" s="35"/>
      <c r="M12" s="35"/>
      <c r="N12" s="36"/>
      <c r="O12" s="36"/>
      <c r="P12" s="22"/>
      <c r="Q12" s="23"/>
      <c r="R12" s="42"/>
      <c r="S12" s="23"/>
      <c r="T12" s="42"/>
      <c r="U12" s="23"/>
      <c r="V12" s="42"/>
      <c r="W12" s="43"/>
      <c r="X12" s="44"/>
      <c r="Y12" s="43"/>
      <c r="Z12" s="44"/>
      <c r="AC12" s="46"/>
      <c r="AD12" s="36"/>
      <c r="AE12" s="46"/>
      <c r="AF12" s="36"/>
      <c r="AG12" s="36"/>
      <c r="AI12" s="30"/>
      <c r="AJ12" s="22"/>
      <c r="AK12" s="22"/>
      <c r="AL12" s="22"/>
      <c r="AM12" s="31"/>
      <c r="AN12" s="22"/>
    </row>
    <row r="13" spans="1:40" ht="12.75">
      <c r="A13" s="1">
        <v>1</v>
      </c>
      <c r="B13" s="1">
        <v>35603</v>
      </c>
      <c r="C13" s="53" t="s">
        <v>88</v>
      </c>
      <c r="D13" s="1">
        <v>2</v>
      </c>
      <c r="E13" s="1" t="s">
        <v>41</v>
      </c>
      <c r="F13" s="15" t="s">
        <v>28</v>
      </c>
      <c r="G13" s="1">
        <v>3</v>
      </c>
      <c r="J13" s="34"/>
      <c r="K13" s="35"/>
      <c r="L13" s="35"/>
      <c r="M13" s="35"/>
      <c r="N13" s="36"/>
      <c r="O13" s="36"/>
      <c r="P13" s="22"/>
      <c r="Q13" s="23"/>
      <c r="R13" s="42"/>
      <c r="S13" s="23"/>
      <c r="T13" s="42"/>
      <c r="U13" s="23"/>
      <c r="V13" s="42"/>
      <c r="W13" s="43"/>
      <c r="X13" s="44"/>
      <c r="Z13" s="44"/>
      <c r="AC13" s="46"/>
      <c r="AD13" s="36"/>
      <c r="AE13" s="46"/>
      <c r="AF13" s="36"/>
      <c r="AG13" s="36"/>
      <c r="AI13" s="30"/>
      <c r="AJ13" s="22"/>
      <c r="AK13" s="22"/>
      <c r="AL13" s="22"/>
      <c r="AM13" s="31"/>
      <c r="AN13" s="22"/>
    </row>
    <row r="14" spans="1:62" s="14" customFormat="1" ht="11.25">
      <c r="A14" s="14">
        <v>1</v>
      </c>
      <c r="B14" s="15">
        <v>35428</v>
      </c>
      <c r="C14" s="16" t="s">
        <v>27</v>
      </c>
      <c r="D14" s="15">
        <v>1</v>
      </c>
      <c r="E14" s="15" t="s">
        <v>8</v>
      </c>
      <c r="F14" s="1" t="s">
        <v>28</v>
      </c>
      <c r="G14" s="15">
        <v>1</v>
      </c>
      <c r="H14" s="18"/>
      <c r="I14" s="18"/>
      <c r="J14" s="34"/>
      <c r="K14" s="35"/>
      <c r="L14" s="20"/>
      <c r="M14" s="20"/>
      <c r="N14" s="21"/>
      <c r="O14" s="21"/>
      <c r="P14" s="22"/>
      <c r="Q14" s="25"/>
      <c r="R14" s="24"/>
      <c r="S14" s="25"/>
      <c r="T14" s="24"/>
      <c r="U14" s="25"/>
      <c r="V14" s="24"/>
      <c r="W14" s="26"/>
      <c r="X14" s="27"/>
      <c r="Y14" s="26"/>
      <c r="Z14" s="27"/>
      <c r="AA14" s="26"/>
      <c r="AB14" s="27"/>
      <c r="AC14" s="28"/>
      <c r="AD14" s="29"/>
      <c r="AE14" s="28"/>
      <c r="AF14" s="29"/>
      <c r="AG14" s="29"/>
      <c r="AI14" s="30"/>
      <c r="AJ14" s="22"/>
      <c r="AK14" s="22"/>
      <c r="AL14" s="22"/>
      <c r="AM14" s="31"/>
      <c r="AN14" s="22"/>
      <c r="AO14" s="32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</row>
    <row r="15" spans="1:40" s="14" customFormat="1" ht="11.25">
      <c r="A15" s="14">
        <v>1</v>
      </c>
      <c r="B15" s="15">
        <v>35526</v>
      </c>
      <c r="C15" s="16" t="s">
        <v>31</v>
      </c>
      <c r="D15" s="15">
        <v>1</v>
      </c>
      <c r="E15" s="15" t="s">
        <v>8</v>
      </c>
      <c r="F15" s="1" t="s">
        <v>28</v>
      </c>
      <c r="G15" s="15">
        <v>1</v>
      </c>
      <c r="H15" s="18"/>
      <c r="I15" s="18"/>
      <c r="J15" s="34"/>
      <c r="K15" s="35"/>
      <c r="L15" s="20"/>
      <c r="M15" s="20"/>
      <c r="N15" s="21"/>
      <c r="O15" s="21"/>
      <c r="P15" s="22"/>
      <c r="Q15" s="25"/>
      <c r="R15" s="24"/>
      <c r="S15" s="23"/>
      <c r="T15" s="42"/>
      <c r="U15" s="23"/>
      <c r="V15" s="42"/>
      <c r="W15" s="43"/>
      <c r="X15" s="44"/>
      <c r="Y15" s="43"/>
      <c r="Z15" s="44"/>
      <c r="AA15" s="43"/>
      <c r="AB15" s="27"/>
      <c r="AC15" s="40"/>
      <c r="AD15" s="29"/>
      <c r="AE15" s="40"/>
      <c r="AF15" s="41"/>
      <c r="AG15" s="41"/>
      <c r="AI15" s="30"/>
      <c r="AJ15" s="22"/>
      <c r="AK15" s="22"/>
      <c r="AL15" s="22"/>
      <c r="AM15" s="31"/>
      <c r="AN15" s="22"/>
    </row>
    <row r="16" spans="1:40" s="14" customFormat="1" ht="11.25">
      <c r="A16" s="14">
        <v>1</v>
      </c>
      <c r="B16" s="15">
        <v>35546</v>
      </c>
      <c r="C16" s="16" t="s">
        <v>33</v>
      </c>
      <c r="D16" s="15">
        <v>1</v>
      </c>
      <c r="E16" s="15" t="s">
        <v>8</v>
      </c>
      <c r="F16" s="1" t="s">
        <v>28</v>
      </c>
      <c r="G16" s="15">
        <v>1</v>
      </c>
      <c r="H16" s="18"/>
      <c r="I16" s="18"/>
      <c r="J16" s="34"/>
      <c r="K16" s="35"/>
      <c r="L16" s="20"/>
      <c r="M16" s="20"/>
      <c r="N16" s="21"/>
      <c r="O16" s="21"/>
      <c r="P16" s="22"/>
      <c r="Q16" s="23"/>
      <c r="R16" s="42"/>
      <c r="S16" s="23"/>
      <c r="T16" s="42"/>
      <c r="U16" s="23"/>
      <c r="V16" s="42"/>
      <c r="W16" s="43"/>
      <c r="X16" s="44"/>
      <c r="Y16" s="43"/>
      <c r="Z16" s="44"/>
      <c r="AA16" s="43"/>
      <c r="AB16" s="44"/>
      <c r="AC16" s="40"/>
      <c r="AD16" s="41"/>
      <c r="AE16" s="40"/>
      <c r="AF16" s="41"/>
      <c r="AG16" s="41"/>
      <c r="AI16" s="30"/>
      <c r="AJ16" s="22"/>
      <c r="AK16" s="22"/>
      <c r="AL16" s="22"/>
      <c r="AM16" s="31"/>
      <c r="AN16" s="22"/>
    </row>
    <row r="17" spans="1:40" ht="12.75">
      <c r="A17" s="1">
        <v>1</v>
      </c>
      <c r="B17" s="1">
        <v>35564</v>
      </c>
      <c r="C17" s="33" t="s">
        <v>39</v>
      </c>
      <c r="D17" s="15">
        <v>1</v>
      </c>
      <c r="E17" s="15" t="s">
        <v>8</v>
      </c>
      <c r="F17" s="1" t="s">
        <v>28</v>
      </c>
      <c r="G17" s="1">
        <v>2</v>
      </c>
      <c r="J17" s="34"/>
      <c r="K17" s="35"/>
      <c r="L17" s="35"/>
      <c r="M17" s="35"/>
      <c r="N17" s="36"/>
      <c r="O17" s="36"/>
      <c r="P17" s="22"/>
      <c r="Q17" s="23"/>
      <c r="R17" s="42"/>
      <c r="S17" s="23"/>
      <c r="T17" s="42"/>
      <c r="U17" s="23"/>
      <c r="V17" s="42"/>
      <c r="W17" s="43"/>
      <c r="X17" s="44"/>
      <c r="Y17" s="43"/>
      <c r="Z17" s="44"/>
      <c r="AA17" s="45"/>
      <c r="AC17" s="46"/>
      <c r="AD17" s="36"/>
      <c r="AE17" s="46"/>
      <c r="AF17" s="36"/>
      <c r="AG17" s="36"/>
      <c r="AI17" s="30"/>
      <c r="AJ17" s="22"/>
      <c r="AK17" s="22"/>
      <c r="AL17" s="22"/>
      <c r="AM17" s="31"/>
      <c r="AN17" s="22"/>
    </row>
    <row r="18" spans="1:40" ht="12.75">
      <c r="A18" s="1">
        <v>1</v>
      </c>
      <c r="B18" s="1">
        <v>35548</v>
      </c>
      <c r="C18" s="33" t="s">
        <v>54</v>
      </c>
      <c r="D18" s="1">
        <v>1</v>
      </c>
      <c r="E18" s="1" t="s">
        <v>8</v>
      </c>
      <c r="F18" s="1" t="s">
        <v>28</v>
      </c>
      <c r="G18" s="1">
        <v>2</v>
      </c>
      <c r="J18" s="34"/>
      <c r="K18" s="35"/>
      <c r="L18" s="35"/>
      <c r="M18" s="35"/>
      <c r="N18" s="36"/>
      <c r="O18" s="36"/>
      <c r="P18" s="22"/>
      <c r="Q18" s="23"/>
      <c r="R18" s="42"/>
      <c r="S18" s="23"/>
      <c r="T18" s="42"/>
      <c r="U18" s="23"/>
      <c r="V18" s="42"/>
      <c r="W18" s="43"/>
      <c r="X18" s="44"/>
      <c r="Y18" s="45"/>
      <c r="AA18" s="45"/>
      <c r="AC18" s="46"/>
      <c r="AD18" s="36"/>
      <c r="AE18" s="46"/>
      <c r="AF18" s="36"/>
      <c r="AG18" s="36"/>
      <c r="AI18" s="30"/>
      <c r="AJ18" s="22"/>
      <c r="AK18" s="22"/>
      <c r="AL18" s="22"/>
      <c r="AM18" s="31"/>
      <c r="AN18" s="22"/>
    </row>
    <row r="19" spans="1:40" ht="12.75">
      <c r="A19" s="1">
        <v>1</v>
      </c>
      <c r="B19" s="1">
        <v>35579</v>
      </c>
      <c r="C19" s="33" t="s">
        <v>50</v>
      </c>
      <c r="D19" s="1">
        <v>1</v>
      </c>
      <c r="E19" s="1" t="s">
        <v>8</v>
      </c>
      <c r="F19" s="1" t="s">
        <v>28</v>
      </c>
      <c r="G19" s="1">
        <v>2</v>
      </c>
      <c r="J19" s="34"/>
      <c r="K19" s="35"/>
      <c r="L19" s="35"/>
      <c r="M19" s="35"/>
      <c r="N19" s="36"/>
      <c r="O19" s="36"/>
      <c r="P19" s="22"/>
      <c r="R19" s="42"/>
      <c r="S19" s="23"/>
      <c r="T19" s="42"/>
      <c r="U19" s="23"/>
      <c r="V19" s="42"/>
      <c r="W19" s="43"/>
      <c r="X19" s="44"/>
      <c r="Y19" s="43"/>
      <c r="Z19" s="44"/>
      <c r="AC19" s="46"/>
      <c r="AD19" s="36"/>
      <c r="AE19" s="46"/>
      <c r="AF19" s="36"/>
      <c r="AG19" s="36"/>
      <c r="AI19" s="30"/>
      <c r="AJ19" s="22"/>
      <c r="AK19" s="22"/>
      <c r="AL19" s="22"/>
      <c r="AM19" s="31"/>
      <c r="AN19" s="22"/>
    </row>
    <row r="20" spans="1:40" ht="12.75">
      <c r="A20" s="1">
        <v>1</v>
      </c>
      <c r="B20" s="1">
        <v>35590</v>
      </c>
      <c r="C20" s="33" t="s">
        <v>116</v>
      </c>
      <c r="D20" s="1">
        <v>1</v>
      </c>
      <c r="E20" s="1" t="s">
        <v>8</v>
      </c>
      <c r="F20" s="1" t="s">
        <v>28</v>
      </c>
      <c r="G20" s="1">
        <v>4</v>
      </c>
      <c r="J20" s="34"/>
      <c r="K20" s="35"/>
      <c r="L20" s="35"/>
      <c r="M20" s="35"/>
      <c r="N20" s="36"/>
      <c r="O20" s="36"/>
      <c r="P20" s="22"/>
      <c r="Q20" s="23"/>
      <c r="R20" s="42"/>
      <c r="S20" s="23"/>
      <c r="T20" s="42"/>
      <c r="U20" s="47"/>
      <c r="W20" s="45"/>
      <c r="Y20" s="45"/>
      <c r="AC20" s="46"/>
      <c r="AD20" s="36"/>
      <c r="AE20" s="46"/>
      <c r="AF20" s="36"/>
      <c r="AG20" s="36"/>
      <c r="AI20" s="30"/>
      <c r="AJ20" s="22"/>
      <c r="AK20" s="22"/>
      <c r="AL20" s="22"/>
      <c r="AM20" s="31"/>
      <c r="AN20" s="22"/>
    </row>
    <row r="21" spans="1:40" ht="12.75">
      <c r="A21" s="1">
        <v>1</v>
      </c>
      <c r="B21" s="1">
        <v>35574</v>
      </c>
      <c r="C21" s="33" t="s">
        <v>29</v>
      </c>
      <c r="D21" s="1">
        <v>2</v>
      </c>
      <c r="E21" s="1" t="s">
        <v>8</v>
      </c>
      <c r="F21" s="1" t="s">
        <v>28</v>
      </c>
      <c r="G21" s="1">
        <v>1</v>
      </c>
      <c r="J21" s="34"/>
      <c r="K21" s="35"/>
      <c r="L21" s="35"/>
      <c r="M21" s="35"/>
      <c r="N21" s="36"/>
      <c r="O21" s="36"/>
      <c r="P21" s="22"/>
      <c r="Q21" s="23"/>
      <c r="R21" s="42"/>
      <c r="S21" s="23"/>
      <c r="T21" s="42"/>
      <c r="U21" s="23"/>
      <c r="V21" s="42"/>
      <c r="W21" s="43"/>
      <c r="X21" s="44"/>
      <c r="Y21" s="43"/>
      <c r="Z21" s="44"/>
      <c r="AA21" s="45"/>
      <c r="AC21" s="46"/>
      <c r="AD21" s="36"/>
      <c r="AE21" s="46"/>
      <c r="AF21" s="36"/>
      <c r="AG21" s="36"/>
      <c r="AI21" s="30"/>
      <c r="AJ21" s="22"/>
      <c r="AK21" s="22"/>
      <c r="AL21" s="22"/>
      <c r="AM21" s="31"/>
      <c r="AN21" s="22"/>
    </row>
    <row r="22" spans="1:40" ht="12.75">
      <c r="A22" s="1">
        <v>1</v>
      </c>
      <c r="B22" s="1">
        <v>35570</v>
      </c>
      <c r="C22" s="33" t="s">
        <v>58</v>
      </c>
      <c r="D22" s="1">
        <v>2</v>
      </c>
      <c r="E22" s="1" t="s">
        <v>8</v>
      </c>
      <c r="F22" s="1" t="s">
        <v>28</v>
      </c>
      <c r="G22" s="1">
        <v>2</v>
      </c>
      <c r="J22" s="34"/>
      <c r="K22" s="35"/>
      <c r="L22" s="35"/>
      <c r="M22" s="35"/>
      <c r="N22" s="36"/>
      <c r="O22" s="36"/>
      <c r="P22" s="22"/>
      <c r="Q22" s="23"/>
      <c r="R22" s="42"/>
      <c r="S22" s="23"/>
      <c r="T22" s="42"/>
      <c r="U22" s="23"/>
      <c r="V22" s="42"/>
      <c r="W22" s="43"/>
      <c r="X22" s="44"/>
      <c r="Y22" s="43"/>
      <c r="Z22" s="44"/>
      <c r="AA22" s="45"/>
      <c r="AC22" s="46"/>
      <c r="AD22" s="36"/>
      <c r="AE22" s="46"/>
      <c r="AF22" s="36"/>
      <c r="AG22" s="36"/>
      <c r="AI22" s="30"/>
      <c r="AJ22" s="22"/>
      <c r="AK22" s="22"/>
      <c r="AL22" s="22"/>
      <c r="AM22" s="31"/>
      <c r="AN22" s="22"/>
    </row>
    <row r="23" spans="1:40" ht="12.75">
      <c r="A23" s="1">
        <v>1</v>
      </c>
      <c r="B23" s="1">
        <v>35580</v>
      </c>
      <c r="C23" s="33" t="s">
        <v>115</v>
      </c>
      <c r="D23" s="1">
        <v>1</v>
      </c>
      <c r="E23" s="1" t="s">
        <v>41</v>
      </c>
      <c r="F23" s="1" t="s">
        <v>53</v>
      </c>
      <c r="G23" s="1">
        <v>1</v>
      </c>
      <c r="J23" s="34"/>
      <c r="K23" s="35"/>
      <c r="L23" s="35"/>
      <c r="M23" s="35"/>
      <c r="N23" s="36"/>
      <c r="O23" s="36"/>
      <c r="P23" s="22"/>
      <c r="Q23" s="23"/>
      <c r="R23" s="42"/>
      <c r="S23" s="23"/>
      <c r="T23" s="42"/>
      <c r="U23" s="23"/>
      <c r="V23" s="42"/>
      <c r="W23" s="43"/>
      <c r="X23" s="44"/>
      <c r="Y23" s="45"/>
      <c r="AC23" s="46"/>
      <c r="AD23" s="36"/>
      <c r="AE23" s="46"/>
      <c r="AF23" s="36"/>
      <c r="AG23" s="36"/>
      <c r="AI23" s="39"/>
      <c r="AJ23" s="22"/>
      <c r="AK23" s="22"/>
      <c r="AL23" s="22"/>
      <c r="AM23" s="31"/>
      <c r="AN23" s="22"/>
    </row>
    <row r="24" spans="1:40" ht="12.75">
      <c r="A24" s="1">
        <v>1</v>
      </c>
      <c r="B24" s="1">
        <v>35602</v>
      </c>
      <c r="C24" s="53" t="s">
        <v>107</v>
      </c>
      <c r="D24" s="1">
        <v>1</v>
      </c>
      <c r="E24" s="1" t="s">
        <v>41</v>
      </c>
      <c r="F24" s="1" t="s">
        <v>53</v>
      </c>
      <c r="G24" s="1">
        <v>1</v>
      </c>
      <c r="J24" s="34"/>
      <c r="K24" s="35"/>
      <c r="L24" s="35"/>
      <c r="M24" s="35"/>
      <c r="N24" s="36"/>
      <c r="O24" s="36"/>
      <c r="P24" s="22"/>
      <c r="Q24" s="23"/>
      <c r="R24" s="42"/>
      <c r="S24" s="23"/>
      <c r="T24" s="42"/>
      <c r="U24" s="23"/>
      <c r="V24" s="42"/>
      <c r="W24" s="43"/>
      <c r="X24" s="44"/>
      <c r="AC24" s="46"/>
      <c r="AD24" s="36"/>
      <c r="AE24" s="46"/>
      <c r="AF24" s="36"/>
      <c r="AG24" s="36"/>
      <c r="AJ24" s="22"/>
      <c r="AK24" s="22"/>
      <c r="AL24" s="22"/>
      <c r="AM24" s="31"/>
      <c r="AN24" s="22"/>
    </row>
    <row r="25" spans="1:40" ht="12.75">
      <c r="A25" s="1">
        <v>1</v>
      </c>
      <c r="B25" s="1">
        <v>35593</v>
      </c>
      <c r="C25" s="53" t="s">
        <v>118</v>
      </c>
      <c r="D25" s="1">
        <v>1</v>
      </c>
      <c r="E25" s="1" t="s">
        <v>41</v>
      </c>
      <c r="F25" s="1" t="s">
        <v>53</v>
      </c>
      <c r="G25" s="1">
        <v>2</v>
      </c>
      <c r="J25" s="34"/>
      <c r="K25" s="35"/>
      <c r="L25" s="35"/>
      <c r="M25" s="35"/>
      <c r="N25" s="36"/>
      <c r="O25" s="36"/>
      <c r="P25" s="22"/>
      <c r="Q25" s="23"/>
      <c r="R25" s="42"/>
      <c r="S25" s="23"/>
      <c r="T25" s="42"/>
      <c r="U25" s="23"/>
      <c r="V25" s="42"/>
      <c r="W25" s="43"/>
      <c r="X25" s="44"/>
      <c r="Y25" s="45"/>
      <c r="AC25" s="46"/>
      <c r="AD25" s="36"/>
      <c r="AE25" s="46"/>
      <c r="AF25" s="36"/>
      <c r="AG25" s="36"/>
      <c r="AJ25" s="22"/>
      <c r="AK25" s="22"/>
      <c r="AL25" s="22"/>
      <c r="AM25" s="31"/>
      <c r="AN25" s="22"/>
    </row>
    <row r="26" spans="1:40" ht="12.75">
      <c r="A26" s="1">
        <v>1</v>
      </c>
      <c r="B26" s="1">
        <v>35616</v>
      </c>
      <c r="C26" s="33" t="s">
        <v>124</v>
      </c>
      <c r="D26" s="1">
        <v>1</v>
      </c>
      <c r="E26" s="1" t="s">
        <v>41</v>
      </c>
      <c r="F26" s="1" t="s">
        <v>53</v>
      </c>
      <c r="G26" s="1">
        <v>2</v>
      </c>
      <c r="J26" s="34"/>
      <c r="K26" s="35"/>
      <c r="L26" s="35"/>
      <c r="M26" s="35"/>
      <c r="N26" s="36"/>
      <c r="O26" s="36"/>
      <c r="P26" s="22"/>
      <c r="R26" s="18"/>
      <c r="S26" s="47"/>
      <c r="T26" s="18"/>
      <c r="U26" s="47"/>
      <c r="W26" s="45"/>
      <c r="Y26" s="45"/>
      <c r="AA26" s="45"/>
      <c r="AC26" s="38"/>
      <c r="AE26" s="38"/>
      <c r="AF26" s="35"/>
      <c r="AG26" s="35"/>
      <c r="AJ26" s="22"/>
      <c r="AK26" s="22"/>
      <c r="AL26" s="22"/>
      <c r="AM26" s="31"/>
      <c r="AN26" s="22"/>
    </row>
    <row r="27" spans="1:40" ht="12.75">
      <c r="A27" s="1">
        <v>1</v>
      </c>
      <c r="B27" s="1">
        <v>35631</v>
      </c>
      <c r="C27" s="33" t="s">
        <v>145</v>
      </c>
      <c r="D27" s="1">
        <v>1</v>
      </c>
      <c r="E27" s="1" t="s">
        <v>41</v>
      </c>
      <c r="F27" s="1" t="s">
        <v>53</v>
      </c>
      <c r="G27" s="1">
        <v>3</v>
      </c>
      <c r="J27" s="34"/>
      <c r="K27" s="35"/>
      <c r="L27" s="35"/>
      <c r="M27" s="35"/>
      <c r="N27" s="36"/>
      <c r="O27" s="36"/>
      <c r="P27" s="22"/>
      <c r="R27" s="18"/>
      <c r="S27" s="47"/>
      <c r="T27" s="18"/>
      <c r="U27" s="47"/>
      <c r="W27" s="45"/>
      <c r="Y27" s="45"/>
      <c r="AA27" s="45"/>
      <c r="AC27" s="38"/>
      <c r="AE27" s="38"/>
      <c r="AF27" s="35"/>
      <c r="AG27" s="35"/>
      <c r="AJ27" s="22"/>
      <c r="AK27" s="22"/>
      <c r="AL27" s="22"/>
      <c r="AM27" s="31"/>
      <c r="AN27" s="22"/>
    </row>
    <row r="28" spans="1:40" ht="12.75">
      <c r="A28" s="1">
        <v>1</v>
      </c>
      <c r="B28" s="1">
        <v>35594</v>
      </c>
      <c r="C28" s="53" t="s">
        <v>151</v>
      </c>
      <c r="D28" s="1">
        <v>1</v>
      </c>
      <c r="E28" s="1" t="s">
        <v>41</v>
      </c>
      <c r="F28" s="1" t="s">
        <v>53</v>
      </c>
      <c r="G28" s="1">
        <v>4</v>
      </c>
      <c r="J28" s="34"/>
      <c r="K28" s="35"/>
      <c r="L28" s="35"/>
      <c r="M28" s="35"/>
      <c r="N28" s="36"/>
      <c r="O28" s="36"/>
      <c r="P28" s="22"/>
      <c r="Q28" s="23"/>
      <c r="R28" s="42"/>
      <c r="S28" s="23"/>
      <c r="T28" s="42"/>
      <c r="U28" s="43"/>
      <c r="V28" s="42"/>
      <c r="W28" s="43"/>
      <c r="X28" s="44"/>
      <c r="Y28" s="45"/>
      <c r="AC28" s="46"/>
      <c r="AD28" s="36"/>
      <c r="AE28" s="46"/>
      <c r="AF28" s="36"/>
      <c r="AG28" s="36"/>
      <c r="AJ28" s="22"/>
      <c r="AK28" s="22"/>
      <c r="AL28" s="22"/>
      <c r="AM28" s="31"/>
      <c r="AN28" s="22"/>
    </row>
    <row r="29" spans="1:40" ht="12.75">
      <c r="A29" s="1">
        <v>1</v>
      </c>
      <c r="B29" s="1">
        <v>35620</v>
      </c>
      <c r="C29" s="33" t="s">
        <v>144</v>
      </c>
      <c r="D29" s="1">
        <v>1</v>
      </c>
      <c r="E29" s="1" t="s">
        <v>41</v>
      </c>
      <c r="F29" s="1" t="s">
        <v>53</v>
      </c>
      <c r="G29" s="1">
        <v>3</v>
      </c>
      <c r="J29" s="34"/>
      <c r="K29" s="35"/>
      <c r="L29" s="35"/>
      <c r="M29" s="35"/>
      <c r="N29" s="36"/>
      <c r="O29" s="36"/>
      <c r="P29" s="22"/>
      <c r="R29" s="18"/>
      <c r="S29" s="47"/>
      <c r="T29" s="18"/>
      <c r="U29" s="47"/>
      <c r="W29" s="45"/>
      <c r="Y29" s="45"/>
      <c r="AA29" s="45"/>
      <c r="AC29" s="38"/>
      <c r="AE29" s="38"/>
      <c r="AF29" s="35"/>
      <c r="AG29" s="35"/>
      <c r="AJ29" s="22"/>
      <c r="AK29" s="22"/>
      <c r="AL29" s="22"/>
      <c r="AM29" s="31"/>
      <c r="AN29" s="22"/>
    </row>
    <row r="30" spans="1:40" s="14" customFormat="1" ht="11.25">
      <c r="A30" s="14">
        <v>1</v>
      </c>
      <c r="B30" s="14">
        <v>35545</v>
      </c>
      <c r="C30" s="16" t="s">
        <v>52</v>
      </c>
      <c r="D30" s="14">
        <v>2</v>
      </c>
      <c r="E30" s="14" t="s">
        <v>41</v>
      </c>
      <c r="F30" s="14" t="s">
        <v>53</v>
      </c>
      <c r="G30" s="14">
        <v>1</v>
      </c>
      <c r="H30" s="18"/>
      <c r="I30" s="18"/>
      <c r="J30" s="34"/>
      <c r="K30" s="35"/>
      <c r="L30" s="20"/>
      <c r="M30" s="20"/>
      <c r="N30" s="21"/>
      <c r="O30" s="21"/>
      <c r="P30" s="22"/>
      <c r="Q30" s="23"/>
      <c r="R30" s="42"/>
      <c r="S30" s="23"/>
      <c r="T30" s="42"/>
      <c r="U30" s="23"/>
      <c r="V30" s="42"/>
      <c r="W30" s="43"/>
      <c r="X30" s="44"/>
      <c r="Y30" s="43"/>
      <c r="Z30" s="44"/>
      <c r="AA30" s="43"/>
      <c r="AB30" s="44"/>
      <c r="AC30" s="40"/>
      <c r="AD30" s="41"/>
      <c r="AE30" s="40"/>
      <c r="AF30" s="41"/>
      <c r="AG30" s="41"/>
      <c r="AI30" s="30"/>
      <c r="AJ30" s="22"/>
      <c r="AK30" s="22"/>
      <c r="AL30" s="22"/>
      <c r="AM30" s="31"/>
      <c r="AN30" s="22"/>
    </row>
    <row r="31" spans="1:40" s="14" customFormat="1" ht="11.25">
      <c r="A31" s="14">
        <v>1</v>
      </c>
      <c r="B31" s="14">
        <v>35542</v>
      </c>
      <c r="C31" s="16" t="s">
        <v>81</v>
      </c>
      <c r="D31" s="14">
        <v>2</v>
      </c>
      <c r="E31" s="14" t="s">
        <v>41</v>
      </c>
      <c r="F31" s="14" t="s">
        <v>53</v>
      </c>
      <c r="G31" s="14">
        <v>1</v>
      </c>
      <c r="H31" s="18"/>
      <c r="I31" s="18"/>
      <c r="J31" s="34"/>
      <c r="K31" s="35"/>
      <c r="L31" s="20"/>
      <c r="M31" s="20"/>
      <c r="N31" s="21"/>
      <c r="O31" s="21"/>
      <c r="P31" s="22"/>
      <c r="Q31" s="23"/>
      <c r="R31" s="42"/>
      <c r="S31" s="23"/>
      <c r="T31" s="42"/>
      <c r="U31" s="23"/>
      <c r="V31" s="42"/>
      <c r="W31" s="43"/>
      <c r="X31" s="44"/>
      <c r="Y31" s="43"/>
      <c r="Z31" s="44"/>
      <c r="AA31" s="43"/>
      <c r="AB31" s="44"/>
      <c r="AC31" s="40"/>
      <c r="AD31" s="41"/>
      <c r="AE31" s="40"/>
      <c r="AF31" s="41"/>
      <c r="AG31" s="41"/>
      <c r="AI31" s="30"/>
      <c r="AJ31" s="22"/>
      <c r="AK31" s="22"/>
      <c r="AL31" s="22"/>
      <c r="AM31" s="31"/>
      <c r="AN31" s="22"/>
    </row>
    <row r="32" spans="1:40" ht="12.75">
      <c r="A32" s="1">
        <v>1</v>
      </c>
      <c r="B32" s="1">
        <v>35600</v>
      </c>
      <c r="C32" s="33" t="s">
        <v>141</v>
      </c>
      <c r="D32" s="1">
        <v>2</v>
      </c>
      <c r="E32" s="1" t="s">
        <v>41</v>
      </c>
      <c r="F32" s="1" t="s">
        <v>53</v>
      </c>
      <c r="G32" s="1">
        <v>3</v>
      </c>
      <c r="J32" s="34"/>
      <c r="K32" s="35"/>
      <c r="L32" s="35"/>
      <c r="M32" s="35"/>
      <c r="N32" s="36"/>
      <c r="O32" s="36"/>
      <c r="P32" s="22"/>
      <c r="Q32" s="23"/>
      <c r="R32" s="42"/>
      <c r="S32" s="23"/>
      <c r="T32" s="42"/>
      <c r="U32" s="43"/>
      <c r="V32" s="42"/>
      <c r="W32" s="43"/>
      <c r="X32" s="44"/>
      <c r="Y32" s="45"/>
      <c r="AI32" s="30"/>
      <c r="AJ32" s="22"/>
      <c r="AK32" s="22"/>
      <c r="AL32" s="22"/>
      <c r="AM32" s="31"/>
      <c r="AN32" s="22"/>
    </row>
    <row r="33" spans="1:40" ht="12.75">
      <c r="A33" s="1">
        <v>1</v>
      </c>
      <c r="B33" s="1">
        <v>35598</v>
      </c>
      <c r="C33" s="53" t="s">
        <v>157</v>
      </c>
      <c r="D33" s="1">
        <v>2</v>
      </c>
      <c r="E33" s="1" t="s">
        <v>41</v>
      </c>
      <c r="F33" s="1" t="s">
        <v>53</v>
      </c>
      <c r="G33" s="1">
        <v>4</v>
      </c>
      <c r="J33" s="34"/>
      <c r="K33" s="35"/>
      <c r="L33" s="35"/>
      <c r="M33" s="35"/>
      <c r="N33" s="36"/>
      <c r="O33" s="36"/>
      <c r="P33" s="22"/>
      <c r="Q33" s="23"/>
      <c r="R33" s="42"/>
      <c r="S33" s="23"/>
      <c r="T33" s="42"/>
      <c r="U33" s="43"/>
      <c r="V33" s="44"/>
      <c r="W33" s="43"/>
      <c r="X33" s="44"/>
      <c r="Y33" s="45"/>
      <c r="AC33" s="46"/>
      <c r="AD33" s="36"/>
      <c r="AE33" s="46"/>
      <c r="AF33" s="36"/>
      <c r="AG33" s="36"/>
      <c r="AI33" s="30"/>
      <c r="AJ33" s="22"/>
      <c r="AK33" s="22"/>
      <c r="AL33" s="22"/>
      <c r="AM33" s="31"/>
      <c r="AN33" s="22"/>
    </row>
    <row r="34" spans="1:40" s="14" customFormat="1" ht="11.25">
      <c r="A34" s="14">
        <v>1</v>
      </c>
      <c r="B34" s="14">
        <v>35552</v>
      </c>
      <c r="C34" s="16" t="s">
        <v>101</v>
      </c>
      <c r="D34" s="14">
        <v>1</v>
      </c>
      <c r="E34" s="14" t="s">
        <v>8</v>
      </c>
      <c r="F34" s="14" t="s">
        <v>53</v>
      </c>
      <c r="G34" s="14">
        <v>1</v>
      </c>
      <c r="H34" s="18"/>
      <c r="I34" s="18"/>
      <c r="J34" s="34"/>
      <c r="K34" s="35"/>
      <c r="L34" s="20"/>
      <c r="M34" s="20"/>
      <c r="N34" s="21"/>
      <c r="O34" s="21"/>
      <c r="P34" s="22"/>
      <c r="Q34" s="23"/>
      <c r="R34" s="42"/>
      <c r="S34" s="23"/>
      <c r="T34" s="42"/>
      <c r="U34" s="23"/>
      <c r="V34" s="42"/>
      <c r="W34" s="43"/>
      <c r="X34" s="44"/>
      <c r="Y34" s="43"/>
      <c r="Z34" s="44"/>
      <c r="AA34" s="43"/>
      <c r="AB34" s="44"/>
      <c r="AC34" s="40"/>
      <c r="AD34" s="41"/>
      <c r="AE34" s="40"/>
      <c r="AF34" s="41"/>
      <c r="AG34" s="41"/>
      <c r="AI34" s="39"/>
      <c r="AJ34" s="22"/>
      <c r="AK34" s="22"/>
      <c r="AL34" s="22"/>
      <c r="AM34" s="31"/>
      <c r="AN34" s="22"/>
    </row>
    <row r="35" spans="1:40" ht="12.75">
      <c r="A35" s="1">
        <v>1</v>
      </c>
      <c r="B35" s="1">
        <v>35597</v>
      </c>
      <c r="C35" s="62" t="s">
        <v>106</v>
      </c>
      <c r="D35" s="1">
        <v>1</v>
      </c>
      <c r="E35" s="1" t="s">
        <v>8</v>
      </c>
      <c r="F35" s="1" t="s">
        <v>53</v>
      </c>
      <c r="G35" s="1">
        <v>1</v>
      </c>
      <c r="J35" s="34"/>
      <c r="K35" s="35"/>
      <c r="L35" s="35"/>
      <c r="M35" s="35"/>
      <c r="N35" s="36"/>
      <c r="O35" s="36"/>
      <c r="P35" s="22"/>
      <c r="Q35" s="23"/>
      <c r="R35" s="42"/>
      <c r="S35" s="23"/>
      <c r="T35" s="42"/>
      <c r="U35" s="23"/>
      <c r="V35" s="42"/>
      <c r="W35" s="43"/>
      <c r="X35" s="44"/>
      <c r="Y35" s="45"/>
      <c r="AC35" s="46"/>
      <c r="AD35" s="36"/>
      <c r="AE35" s="46"/>
      <c r="AF35" s="36"/>
      <c r="AG35" s="36"/>
      <c r="AJ35" s="22"/>
      <c r="AK35" s="22"/>
      <c r="AL35" s="22"/>
      <c r="AM35" s="31"/>
      <c r="AN35" s="22"/>
    </row>
    <row r="36" spans="1:40" ht="12.75">
      <c r="A36" s="1">
        <v>1</v>
      </c>
      <c r="B36" s="1">
        <v>35633</v>
      </c>
      <c r="C36" s="62" t="s">
        <v>135</v>
      </c>
      <c r="D36" s="1">
        <v>1</v>
      </c>
      <c r="E36" s="1" t="s">
        <v>8</v>
      </c>
      <c r="F36" s="1" t="s">
        <v>53</v>
      </c>
      <c r="G36" s="1">
        <v>4</v>
      </c>
      <c r="J36" s="34"/>
      <c r="K36" s="35"/>
      <c r="L36" s="35"/>
      <c r="M36" s="35"/>
      <c r="N36" s="36"/>
      <c r="O36" s="36"/>
      <c r="P36" s="22"/>
      <c r="Q36" s="23"/>
      <c r="R36" s="42"/>
      <c r="S36" s="23"/>
      <c r="T36" s="42"/>
      <c r="U36" s="23"/>
      <c r="V36" s="42"/>
      <c r="W36" s="43"/>
      <c r="X36" s="44"/>
      <c r="Y36" s="45"/>
      <c r="AC36" s="46"/>
      <c r="AD36" s="36"/>
      <c r="AE36" s="46"/>
      <c r="AF36" s="36"/>
      <c r="AG36" s="36"/>
      <c r="AJ36" s="22"/>
      <c r="AK36" s="22"/>
      <c r="AL36" s="22"/>
      <c r="AM36" s="31"/>
      <c r="AN36" s="22"/>
    </row>
    <row r="37" spans="1:40" ht="12.75">
      <c r="A37" s="1">
        <v>1</v>
      </c>
      <c r="B37" s="1">
        <v>35587</v>
      </c>
      <c r="C37" s="53" t="s">
        <v>148</v>
      </c>
      <c r="D37" s="1">
        <v>1</v>
      </c>
      <c r="E37" s="1" t="s">
        <v>8</v>
      </c>
      <c r="F37" s="1" t="s">
        <v>53</v>
      </c>
      <c r="G37" s="1">
        <v>4</v>
      </c>
      <c r="J37" s="34"/>
      <c r="K37" s="35"/>
      <c r="L37" s="35"/>
      <c r="M37" s="35"/>
      <c r="N37" s="36"/>
      <c r="O37" s="36"/>
      <c r="P37" s="22"/>
      <c r="Q37" s="23"/>
      <c r="R37" s="42"/>
      <c r="S37" s="23"/>
      <c r="T37" s="42"/>
      <c r="U37" s="43"/>
      <c r="V37" s="42"/>
      <c r="W37" s="43"/>
      <c r="X37" s="44"/>
      <c r="Y37" s="45"/>
      <c r="AC37" s="46"/>
      <c r="AD37" s="36"/>
      <c r="AE37" s="46"/>
      <c r="AF37" s="36"/>
      <c r="AG37" s="36"/>
      <c r="AJ37" s="22"/>
      <c r="AK37" s="22"/>
      <c r="AL37" s="22"/>
      <c r="AM37" s="31"/>
      <c r="AN37" s="22"/>
    </row>
    <row r="38" spans="1:40" ht="12.75">
      <c r="A38" s="1">
        <v>1</v>
      </c>
      <c r="B38" s="1">
        <v>35622</v>
      </c>
      <c r="C38" s="33" t="s">
        <v>126</v>
      </c>
      <c r="D38" s="1">
        <v>1</v>
      </c>
      <c r="E38" s="1" t="s">
        <v>8</v>
      </c>
      <c r="F38" s="1" t="s">
        <v>53</v>
      </c>
      <c r="G38" s="1">
        <v>4</v>
      </c>
      <c r="J38" s="34"/>
      <c r="K38" s="35"/>
      <c r="L38" s="35"/>
      <c r="M38" s="35"/>
      <c r="N38" s="36"/>
      <c r="O38" s="36"/>
      <c r="P38" s="22"/>
      <c r="R38" s="18"/>
      <c r="S38" s="47"/>
      <c r="T38" s="18"/>
      <c r="U38" s="47"/>
      <c r="V38" s="37"/>
      <c r="W38" s="45"/>
      <c r="Y38" s="45"/>
      <c r="AA38" s="45"/>
      <c r="AC38" s="38"/>
      <c r="AE38" s="38"/>
      <c r="AF38" s="35"/>
      <c r="AG38" s="35"/>
      <c r="AJ38" s="22"/>
      <c r="AK38" s="22"/>
      <c r="AL38" s="22"/>
      <c r="AM38" s="31"/>
      <c r="AN38" s="22"/>
    </row>
    <row r="39" spans="1:40" ht="12.75">
      <c r="A39" s="1">
        <v>1</v>
      </c>
      <c r="B39" s="1">
        <v>35560</v>
      </c>
      <c r="C39" s="33" t="s">
        <v>60</v>
      </c>
      <c r="D39" s="1">
        <v>2</v>
      </c>
      <c r="E39" s="1" t="s">
        <v>8</v>
      </c>
      <c r="F39" s="1" t="s">
        <v>53</v>
      </c>
      <c r="G39" s="1">
        <v>1</v>
      </c>
      <c r="J39" s="34"/>
      <c r="K39" s="35"/>
      <c r="L39" s="35"/>
      <c r="M39" s="35"/>
      <c r="N39" s="36"/>
      <c r="O39" s="36"/>
      <c r="P39" s="22"/>
      <c r="R39" s="42"/>
      <c r="S39" s="23"/>
      <c r="T39" s="42"/>
      <c r="U39" s="23"/>
      <c r="V39" s="42"/>
      <c r="W39" s="43"/>
      <c r="X39" s="44"/>
      <c r="Y39" s="45"/>
      <c r="AA39" s="45"/>
      <c r="AC39" s="46"/>
      <c r="AD39" s="36"/>
      <c r="AE39" s="46"/>
      <c r="AF39" s="36"/>
      <c r="AG39" s="36"/>
      <c r="AI39" s="30"/>
      <c r="AJ39" s="22"/>
      <c r="AK39" s="22"/>
      <c r="AL39" s="22"/>
      <c r="AM39" s="31"/>
      <c r="AN39" s="22"/>
    </row>
    <row r="40" spans="1:40" ht="12.75">
      <c r="A40" s="1">
        <v>1</v>
      </c>
      <c r="B40" s="1">
        <v>35565</v>
      </c>
      <c r="C40" s="33" t="s">
        <v>110</v>
      </c>
      <c r="D40" s="1">
        <v>2</v>
      </c>
      <c r="E40" s="1" t="s">
        <v>8</v>
      </c>
      <c r="F40" s="1" t="s">
        <v>53</v>
      </c>
      <c r="G40" s="1">
        <v>2</v>
      </c>
      <c r="J40" s="34"/>
      <c r="K40" s="35"/>
      <c r="L40" s="35"/>
      <c r="M40" s="35"/>
      <c r="N40" s="36"/>
      <c r="O40" s="36"/>
      <c r="P40" s="22"/>
      <c r="Q40" s="23"/>
      <c r="R40" s="42"/>
      <c r="S40" s="23"/>
      <c r="T40" s="42"/>
      <c r="U40" s="23"/>
      <c r="V40" s="42"/>
      <c r="W40" s="43"/>
      <c r="X40" s="44"/>
      <c r="Y40" s="45"/>
      <c r="AC40" s="46"/>
      <c r="AD40" s="36"/>
      <c r="AE40" s="46"/>
      <c r="AF40" s="36"/>
      <c r="AG40" s="36"/>
      <c r="AI40" s="30"/>
      <c r="AJ40" s="22"/>
      <c r="AK40" s="22"/>
      <c r="AL40" s="22"/>
      <c r="AM40" s="31"/>
      <c r="AN40" s="22"/>
    </row>
    <row r="41" spans="1:40" ht="12.75">
      <c r="A41" s="1">
        <v>1</v>
      </c>
      <c r="B41" s="1">
        <v>35578</v>
      </c>
      <c r="C41" s="33" t="s">
        <v>82</v>
      </c>
      <c r="D41" s="1">
        <v>2</v>
      </c>
      <c r="E41" s="15" t="s">
        <v>8</v>
      </c>
      <c r="F41" s="15" t="s">
        <v>53</v>
      </c>
      <c r="G41" s="1">
        <v>2</v>
      </c>
      <c r="J41" s="34"/>
      <c r="K41" s="35"/>
      <c r="L41" s="35"/>
      <c r="M41" s="35"/>
      <c r="N41" s="36"/>
      <c r="O41" s="36"/>
      <c r="P41" s="22"/>
      <c r="Q41" s="23"/>
      <c r="R41" s="42"/>
      <c r="S41" s="23"/>
      <c r="T41" s="42"/>
      <c r="U41" s="23"/>
      <c r="V41" s="42"/>
      <c r="W41" s="43"/>
      <c r="X41" s="44"/>
      <c r="Y41" s="45"/>
      <c r="AA41" s="45"/>
      <c r="AC41" s="46"/>
      <c r="AD41" s="36"/>
      <c r="AE41" s="46"/>
      <c r="AF41" s="36"/>
      <c r="AG41" s="36"/>
      <c r="AI41" s="30"/>
      <c r="AJ41" s="22"/>
      <c r="AK41" s="22"/>
      <c r="AL41" s="22"/>
      <c r="AM41" s="31"/>
      <c r="AN41" s="22"/>
    </row>
    <row r="42" spans="1:40" ht="12.75">
      <c r="A42" s="1">
        <v>1</v>
      </c>
      <c r="B42" s="1">
        <v>35582</v>
      </c>
      <c r="C42" s="33" t="s">
        <v>72</v>
      </c>
      <c r="D42" s="1">
        <v>2</v>
      </c>
      <c r="E42" s="15" t="s">
        <v>8</v>
      </c>
      <c r="F42" s="1" t="s">
        <v>53</v>
      </c>
      <c r="G42" s="1">
        <v>1</v>
      </c>
      <c r="J42" s="34"/>
      <c r="K42" s="35"/>
      <c r="L42" s="35"/>
      <c r="M42" s="35"/>
      <c r="N42" s="36"/>
      <c r="O42" s="36"/>
      <c r="P42" s="22"/>
      <c r="Q42" s="23"/>
      <c r="R42" s="42"/>
      <c r="S42" s="23"/>
      <c r="T42" s="42"/>
      <c r="U42" s="23"/>
      <c r="V42" s="42"/>
      <c r="W42" s="43"/>
      <c r="X42" s="44"/>
      <c r="Y42" s="45"/>
      <c r="AA42" s="45"/>
      <c r="AC42" s="46"/>
      <c r="AD42" s="36"/>
      <c r="AE42" s="46"/>
      <c r="AF42" s="36"/>
      <c r="AG42" s="36"/>
      <c r="AI42" s="30"/>
      <c r="AJ42" s="22"/>
      <c r="AK42" s="22"/>
      <c r="AL42" s="22"/>
      <c r="AM42" s="31"/>
      <c r="AN42" s="22"/>
    </row>
    <row r="43" spans="1:40" ht="12.75">
      <c r="A43" s="1">
        <v>1</v>
      </c>
      <c r="B43" s="1">
        <v>35617</v>
      </c>
      <c r="C43" s="33" t="s">
        <v>94</v>
      </c>
      <c r="D43" s="1">
        <v>2</v>
      </c>
      <c r="E43" s="1" t="s">
        <v>8</v>
      </c>
      <c r="F43" s="1" t="s">
        <v>53</v>
      </c>
      <c r="G43" s="1">
        <v>4</v>
      </c>
      <c r="J43" s="34"/>
      <c r="K43" s="35"/>
      <c r="L43" s="35"/>
      <c r="M43" s="35"/>
      <c r="N43" s="36"/>
      <c r="O43" s="36"/>
      <c r="P43" s="22"/>
      <c r="R43" s="18"/>
      <c r="S43" s="47"/>
      <c r="T43" s="18"/>
      <c r="U43" s="45"/>
      <c r="W43" s="45"/>
      <c r="Y43" s="45"/>
      <c r="AA43" s="45"/>
      <c r="AC43" s="38"/>
      <c r="AE43" s="38"/>
      <c r="AF43" s="35"/>
      <c r="AG43" s="35"/>
      <c r="AI43" s="39"/>
      <c r="AJ43" s="22"/>
      <c r="AK43" s="22"/>
      <c r="AL43" s="22"/>
      <c r="AM43" s="31"/>
      <c r="AN43" s="22"/>
    </row>
    <row r="44" spans="1:62" s="14" customFormat="1" ht="11.25">
      <c r="A44" s="14">
        <v>1</v>
      </c>
      <c r="B44" s="15">
        <v>35318</v>
      </c>
      <c r="C44" s="16" t="s">
        <v>75</v>
      </c>
      <c r="D44" s="15">
        <v>1</v>
      </c>
      <c r="E44" s="15" t="s">
        <v>41</v>
      </c>
      <c r="F44" s="15" t="s">
        <v>9</v>
      </c>
      <c r="G44" s="15">
        <v>1</v>
      </c>
      <c r="H44" s="18"/>
      <c r="I44" s="18"/>
      <c r="J44" s="34"/>
      <c r="K44" s="35"/>
      <c r="L44" s="20"/>
      <c r="M44" s="20"/>
      <c r="N44" s="21"/>
      <c r="O44" s="21"/>
      <c r="P44" s="22"/>
      <c r="Q44" s="23"/>
      <c r="R44" s="24"/>
      <c r="S44" s="25"/>
      <c r="T44" s="24"/>
      <c r="U44" s="25"/>
      <c r="V44" s="24"/>
      <c r="W44" s="26"/>
      <c r="X44" s="27"/>
      <c r="Y44" s="26"/>
      <c r="Z44" s="27"/>
      <c r="AA44" s="26"/>
      <c r="AB44" s="27"/>
      <c r="AC44" s="28"/>
      <c r="AD44" s="29"/>
      <c r="AE44" s="28"/>
      <c r="AF44" s="29"/>
      <c r="AG44" s="29"/>
      <c r="AI44" s="30"/>
      <c r="AJ44" s="22"/>
      <c r="AK44" s="22"/>
      <c r="AL44" s="22"/>
      <c r="AM44" s="31"/>
      <c r="AN44" s="22"/>
      <c r="AO44" s="32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</row>
    <row r="45" spans="1:40" ht="12.75">
      <c r="A45" s="1">
        <v>1</v>
      </c>
      <c r="B45" s="1">
        <v>35599</v>
      </c>
      <c r="C45" s="53" t="s">
        <v>91</v>
      </c>
      <c r="D45" s="1">
        <v>1</v>
      </c>
      <c r="E45" s="1" t="s">
        <v>41</v>
      </c>
      <c r="F45" s="1" t="s">
        <v>9</v>
      </c>
      <c r="G45" s="1">
        <v>3</v>
      </c>
      <c r="J45" s="34"/>
      <c r="K45" s="35"/>
      <c r="L45" s="35"/>
      <c r="M45" s="35"/>
      <c r="N45" s="36"/>
      <c r="O45" s="36"/>
      <c r="P45" s="22"/>
      <c r="R45" s="42"/>
      <c r="S45" s="23"/>
      <c r="T45" s="42"/>
      <c r="U45" s="23"/>
      <c r="V45" s="42"/>
      <c r="W45" s="43"/>
      <c r="X45" s="44"/>
      <c r="Y45" s="43"/>
      <c r="Z45" s="44"/>
      <c r="AB45" s="54"/>
      <c r="AC45" s="46"/>
      <c r="AD45" s="36"/>
      <c r="AE45" s="46"/>
      <c r="AF45" s="36"/>
      <c r="AG45" s="36"/>
      <c r="AI45" s="30"/>
      <c r="AJ45" s="22"/>
      <c r="AK45" s="22"/>
      <c r="AL45" s="22"/>
      <c r="AM45" s="31"/>
      <c r="AN45" s="22"/>
    </row>
    <row r="46" spans="1:62" s="14" customFormat="1" ht="11.25">
      <c r="A46" s="14">
        <v>1</v>
      </c>
      <c r="B46" s="15">
        <v>35277</v>
      </c>
      <c r="C46" s="16" t="s">
        <v>73</v>
      </c>
      <c r="D46" s="15">
        <v>4</v>
      </c>
      <c r="E46" s="15" t="s">
        <v>41</v>
      </c>
      <c r="F46" s="15" t="s">
        <v>9</v>
      </c>
      <c r="G46" s="15">
        <v>1</v>
      </c>
      <c r="H46" s="18"/>
      <c r="I46" s="18"/>
      <c r="J46" s="19"/>
      <c r="K46" s="20"/>
      <c r="L46" s="20"/>
      <c r="M46" s="20"/>
      <c r="N46" s="21"/>
      <c r="O46" s="21"/>
      <c r="P46" s="22"/>
      <c r="Q46" s="23"/>
      <c r="R46" s="24"/>
      <c r="S46" s="25"/>
      <c r="T46" s="24"/>
      <c r="U46" s="25"/>
      <c r="V46" s="24"/>
      <c r="W46" s="26"/>
      <c r="X46" s="27"/>
      <c r="Y46" s="26"/>
      <c r="Z46" s="27"/>
      <c r="AA46" s="26"/>
      <c r="AB46" s="27"/>
      <c r="AC46" s="28"/>
      <c r="AD46" s="29"/>
      <c r="AE46" s="28"/>
      <c r="AF46" s="29"/>
      <c r="AG46" s="29"/>
      <c r="AI46" s="30"/>
      <c r="AJ46" s="22"/>
      <c r="AK46" s="22"/>
      <c r="AL46" s="22"/>
      <c r="AM46" s="31"/>
      <c r="AN46" s="22"/>
      <c r="AO46" s="32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</row>
    <row r="47" spans="1:62" s="14" customFormat="1" ht="11.25">
      <c r="A47" s="14">
        <v>1</v>
      </c>
      <c r="B47" s="15">
        <v>35346</v>
      </c>
      <c r="C47" s="16" t="s">
        <v>64</v>
      </c>
      <c r="D47" s="15">
        <v>2</v>
      </c>
      <c r="E47" s="15" t="s">
        <v>41</v>
      </c>
      <c r="F47" s="15" t="s">
        <v>9</v>
      </c>
      <c r="G47" s="15">
        <v>2</v>
      </c>
      <c r="H47" s="18"/>
      <c r="I47" s="18"/>
      <c r="J47" s="19"/>
      <c r="K47" s="20"/>
      <c r="L47" s="20"/>
      <c r="M47" s="20"/>
      <c r="N47" s="21"/>
      <c r="O47" s="21"/>
      <c r="P47" s="22"/>
      <c r="Q47" s="23"/>
      <c r="R47" s="24"/>
      <c r="S47" s="25"/>
      <c r="T47" s="24"/>
      <c r="U47" s="25"/>
      <c r="V47" s="24"/>
      <c r="W47" s="26"/>
      <c r="X47" s="27"/>
      <c r="Y47" s="26"/>
      <c r="Z47" s="27"/>
      <c r="AA47" s="26"/>
      <c r="AB47" s="27"/>
      <c r="AC47" s="28"/>
      <c r="AD47" s="29"/>
      <c r="AE47" s="28"/>
      <c r="AF47" s="29"/>
      <c r="AG47" s="29"/>
      <c r="AI47" s="30"/>
      <c r="AJ47" s="22"/>
      <c r="AK47" s="22"/>
      <c r="AL47" s="22"/>
      <c r="AM47" s="31"/>
      <c r="AN47" s="22"/>
      <c r="AO47" s="32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</row>
    <row r="48" spans="1:62" s="14" customFormat="1" ht="11.25">
      <c r="A48" s="14">
        <v>1</v>
      </c>
      <c r="B48" s="15">
        <v>35279</v>
      </c>
      <c r="C48" s="16" t="s">
        <v>87</v>
      </c>
      <c r="D48" s="15">
        <v>3</v>
      </c>
      <c r="E48" s="15" t="s">
        <v>41</v>
      </c>
      <c r="F48" s="15" t="s">
        <v>9</v>
      </c>
      <c r="G48" s="15">
        <v>3</v>
      </c>
      <c r="H48" s="18"/>
      <c r="I48" s="18"/>
      <c r="J48" s="19"/>
      <c r="K48" s="20"/>
      <c r="L48" s="20"/>
      <c r="M48" s="20"/>
      <c r="N48" s="21"/>
      <c r="O48" s="21"/>
      <c r="P48" s="22"/>
      <c r="Q48" s="23"/>
      <c r="R48" s="24"/>
      <c r="S48" s="25"/>
      <c r="T48" s="24"/>
      <c r="U48" s="25"/>
      <c r="V48" s="24"/>
      <c r="W48" s="26"/>
      <c r="X48" s="27"/>
      <c r="Y48" s="26"/>
      <c r="Z48" s="27"/>
      <c r="AA48" s="26"/>
      <c r="AB48" s="27"/>
      <c r="AC48" s="28"/>
      <c r="AD48" s="29"/>
      <c r="AE48" s="28"/>
      <c r="AF48" s="29"/>
      <c r="AG48" s="29"/>
      <c r="AI48" s="30"/>
      <c r="AJ48" s="22"/>
      <c r="AK48" s="22"/>
      <c r="AL48" s="22"/>
      <c r="AM48" s="31"/>
      <c r="AN48" s="22"/>
      <c r="AO48" s="32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</row>
    <row r="49" spans="1:62" s="14" customFormat="1" ht="11.25">
      <c r="A49" s="14">
        <v>1</v>
      </c>
      <c r="B49" s="15">
        <v>35283</v>
      </c>
      <c r="C49" s="16" t="s">
        <v>30</v>
      </c>
      <c r="D49" s="15">
        <v>1</v>
      </c>
      <c r="E49" s="15" t="s">
        <v>8</v>
      </c>
      <c r="F49" s="15" t="s">
        <v>9</v>
      </c>
      <c r="G49" s="15" t="s">
        <v>15</v>
      </c>
      <c r="H49" s="18"/>
      <c r="I49" s="18"/>
      <c r="J49" s="34"/>
      <c r="K49" s="35"/>
      <c r="L49" s="20"/>
      <c r="M49" s="20"/>
      <c r="N49" s="21"/>
      <c r="O49" s="21"/>
      <c r="P49" s="22"/>
      <c r="Q49" s="25"/>
      <c r="R49" s="24"/>
      <c r="S49" s="25"/>
      <c r="T49" s="24"/>
      <c r="U49" s="25"/>
      <c r="V49" s="24"/>
      <c r="W49" s="26"/>
      <c r="X49" s="27"/>
      <c r="Y49" s="26"/>
      <c r="Z49" s="27"/>
      <c r="AA49" s="26"/>
      <c r="AB49" s="27"/>
      <c r="AC49" s="28"/>
      <c r="AD49" s="29"/>
      <c r="AE49" s="28"/>
      <c r="AF49" s="29"/>
      <c r="AG49" s="29"/>
      <c r="AI49" s="30"/>
      <c r="AJ49" s="22"/>
      <c r="AK49" s="22"/>
      <c r="AL49" s="22"/>
      <c r="AM49" s="31"/>
      <c r="AN49" s="22"/>
      <c r="AO49" s="32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7"/>
    </row>
    <row r="50" spans="1:62" s="14" customFormat="1" ht="11.25">
      <c r="A50" s="14">
        <v>1</v>
      </c>
      <c r="B50" s="15">
        <v>35291</v>
      </c>
      <c r="C50" s="16" t="s">
        <v>20</v>
      </c>
      <c r="D50" s="15">
        <v>1</v>
      </c>
      <c r="E50" s="15" t="s">
        <v>8</v>
      </c>
      <c r="F50" s="15" t="s">
        <v>9</v>
      </c>
      <c r="G50" s="15">
        <v>1</v>
      </c>
      <c r="H50" s="18"/>
      <c r="I50" s="18"/>
      <c r="J50" s="34"/>
      <c r="K50" s="35"/>
      <c r="L50" s="20"/>
      <c r="M50" s="20"/>
      <c r="N50" s="21"/>
      <c r="O50" s="21"/>
      <c r="P50" s="22"/>
      <c r="Q50" s="23"/>
      <c r="R50" s="24"/>
      <c r="S50" s="25"/>
      <c r="T50" s="24"/>
      <c r="U50" s="25"/>
      <c r="V50" s="24"/>
      <c r="W50" s="26"/>
      <c r="X50" s="27"/>
      <c r="Y50" s="26"/>
      <c r="Z50" s="27"/>
      <c r="AA50" s="26"/>
      <c r="AB50" s="27"/>
      <c r="AC50" s="40"/>
      <c r="AD50" s="41"/>
      <c r="AE50" s="28"/>
      <c r="AF50" s="29"/>
      <c r="AG50" s="29"/>
      <c r="AI50" s="30"/>
      <c r="AJ50" s="22"/>
      <c r="AK50" s="22"/>
      <c r="AL50" s="22"/>
      <c r="AM50" s="31"/>
      <c r="AN50" s="22"/>
      <c r="AO50" s="32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</row>
    <row r="51" spans="1:62" s="14" customFormat="1" ht="11.25">
      <c r="A51" s="14">
        <v>1</v>
      </c>
      <c r="B51" s="15">
        <v>35408</v>
      </c>
      <c r="C51" s="16" t="s">
        <v>19</v>
      </c>
      <c r="D51" s="15">
        <v>1</v>
      </c>
      <c r="E51" s="15" t="s">
        <v>8</v>
      </c>
      <c r="F51" s="15" t="s">
        <v>9</v>
      </c>
      <c r="G51" s="15">
        <v>1</v>
      </c>
      <c r="H51" s="18"/>
      <c r="I51" s="18"/>
      <c r="J51" s="19"/>
      <c r="K51" s="20"/>
      <c r="L51" s="20"/>
      <c r="M51" s="20"/>
      <c r="N51" s="21"/>
      <c r="O51" s="21"/>
      <c r="P51" s="22"/>
      <c r="Q51" s="25"/>
      <c r="R51" s="24"/>
      <c r="S51" s="25"/>
      <c r="T51" s="24"/>
      <c r="U51" s="25"/>
      <c r="V51" s="24"/>
      <c r="W51" s="26"/>
      <c r="X51" s="27"/>
      <c r="Y51" s="26"/>
      <c r="Z51" s="27"/>
      <c r="AA51" s="26"/>
      <c r="AB51" s="27"/>
      <c r="AC51" s="28"/>
      <c r="AD51" s="29"/>
      <c r="AE51" s="28"/>
      <c r="AF51" s="29"/>
      <c r="AG51" s="29"/>
      <c r="AI51" s="30"/>
      <c r="AJ51" s="22"/>
      <c r="AK51" s="22"/>
      <c r="AL51" s="22"/>
      <c r="AM51" s="31"/>
      <c r="AN51" s="22"/>
      <c r="AO51" s="32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</row>
    <row r="52" spans="1:62" s="14" customFormat="1" ht="11.25">
      <c r="A52" s="14">
        <v>1</v>
      </c>
      <c r="B52" s="15">
        <v>35413</v>
      </c>
      <c r="C52" s="16" t="s">
        <v>37</v>
      </c>
      <c r="D52" s="15">
        <v>1</v>
      </c>
      <c r="E52" s="15" t="s">
        <v>8</v>
      </c>
      <c r="F52" s="15" t="s">
        <v>9</v>
      </c>
      <c r="G52" s="15">
        <v>2</v>
      </c>
      <c r="H52" s="18"/>
      <c r="I52" s="18"/>
      <c r="J52" s="19"/>
      <c r="K52" s="20"/>
      <c r="L52" s="20"/>
      <c r="M52" s="20"/>
      <c r="N52" s="21"/>
      <c r="O52" s="21"/>
      <c r="P52" s="22"/>
      <c r="Q52" s="23"/>
      <c r="R52" s="24"/>
      <c r="S52" s="25"/>
      <c r="T52" s="24"/>
      <c r="U52" s="25"/>
      <c r="V52" s="24"/>
      <c r="W52" s="26"/>
      <c r="X52" s="27"/>
      <c r="Y52" s="26"/>
      <c r="Z52" s="27"/>
      <c r="AA52" s="26"/>
      <c r="AB52" s="27"/>
      <c r="AC52" s="28"/>
      <c r="AD52" s="29"/>
      <c r="AE52" s="28"/>
      <c r="AF52" s="29"/>
      <c r="AG52" s="29"/>
      <c r="AI52" s="30"/>
      <c r="AJ52" s="22"/>
      <c r="AK52" s="22"/>
      <c r="AL52" s="22"/>
      <c r="AM52" s="31"/>
      <c r="AN52" s="22"/>
      <c r="AO52" s="32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7"/>
    </row>
    <row r="53" spans="1:62" s="14" customFormat="1" ht="11.25">
      <c r="A53" s="14">
        <v>1</v>
      </c>
      <c r="B53" s="15">
        <v>35220</v>
      </c>
      <c r="C53" s="16" t="s">
        <v>21</v>
      </c>
      <c r="D53" s="15">
        <v>4</v>
      </c>
      <c r="E53" s="15" t="s">
        <v>8</v>
      </c>
      <c r="F53" s="15" t="s">
        <v>9</v>
      </c>
      <c r="G53" s="15">
        <v>1</v>
      </c>
      <c r="H53" s="18"/>
      <c r="I53" s="18"/>
      <c r="J53" s="19"/>
      <c r="K53" s="20"/>
      <c r="L53" s="20"/>
      <c r="M53" s="20"/>
      <c r="N53" s="21"/>
      <c r="O53" s="21"/>
      <c r="P53" s="22"/>
      <c r="Q53" s="23"/>
      <c r="R53" s="24"/>
      <c r="S53" s="25"/>
      <c r="T53" s="24"/>
      <c r="U53" s="25"/>
      <c r="V53" s="24"/>
      <c r="W53" s="26"/>
      <c r="X53" s="27"/>
      <c r="Y53" s="26"/>
      <c r="Z53" s="27"/>
      <c r="AA53" s="26"/>
      <c r="AB53" s="27"/>
      <c r="AC53" s="28"/>
      <c r="AD53" s="29"/>
      <c r="AE53" s="28"/>
      <c r="AF53" s="29"/>
      <c r="AG53" s="29"/>
      <c r="AI53" s="30"/>
      <c r="AJ53" s="22"/>
      <c r="AK53" s="22"/>
      <c r="AL53" s="22"/>
      <c r="AM53" s="31"/>
      <c r="AN53" s="22"/>
      <c r="AO53" s="32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</row>
    <row r="54" spans="1:62" s="14" customFormat="1" ht="11.25">
      <c r="A54" s="14">
        <v>1</v>
      </c>
      <c r="B54" s="15">
        <v>35290</v>
      </c>
      <c r="C54" s="16" t="s">
        <v>7</v>
      </c>
      <c r="D54" s="15">
        <v>2</v>
      </c>
      <c r="E54" s="15" t="s">
        <v>8</v>
      </c>
      <c r="F54" s="15" t="s">
        <v>9</v>
      </c>
      <c r="G54" s="15">
        <v>1</v>
      </c>
      <c r="H54" s="18"/>
      <c r="I54" s="18"/>
      <c r="J54" s="19"/>
      <c r="K54" s="20"/>
      <c r="L54" s="20"/>
      <c r="M54" s="20"/>
      <c r="N54" s="21"/>
      <c r="O54" s="21"/>
      <c r="P54" s="22"/>
      <c r="Q54" s="23"/>
      <c r="R54" s="24"/>
      <c r="S54" s="25"/>
      <c r="T54" s="24"/>
      <c r="U54" s="25"/>
      <c r="V54" s="24"/>
      <c r="W54" s="26"/>
      <c r="X54" s="27"/>
      <c r="Y54" s="26"/>
      <c r="Z54" s="27"/>
      <c r="AA54" s="26"/>
      <c r="AB54" s="27"/>
      <c r="AC54" s="28"/>
      <c r="AD54" s="29"/>
      <c r="AE54" s="28"/>
      <c r="AF54" s="29"/>
      <c r="AG54" s="29"/>
      <c r="AI54" s="30"/>
      <c r="AJ54" s="22"/>
      <c r="AK54" s="22"/>
      <c r="AL54" s="22"/>
      <c r="AM54" s="31"/>
      <c r="AN54" s="22"/>
      <c r="AO54" s="32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7"/>
    </row>
    <row r="55" spans="1:62" s="14" customFormat="1" ht="11.25">
      <c r="A55" s="14">
        <v>1</v>
      </c>
      <c r="B55" s="15">
        <v>35372</v>
      </c>
      <c r="C55" s="16" t="s">
        <v>26</v>
      </c>
      <c r="D55" s="15">
        <v>2</v>
      </c>
      <c r="E55" s="15" t="s">
        <v>8</v>
      </c>
      <c r="F55" s="15" t="s">
        <v>9</v>
      </c>
      <c r="G55" s="15">
        <v>1</v>
      </c>
      <c r="H55" s="18"/>
      <c r="I55" s="18"/>
      <c r="J55" s="19"/>
      <c r="K55" s="20"/>
      <c r="L55" s="20"/>
      <c r="M55" s="20"/>
      <c r="N55" s="21"/>
      <c r="O55" s="21"/>
      <c r="P55" s="22"/>
      <c r="Q55" s="23"/>
      <c r="R55" s="24"/>
      <c r="S55" s="25"/>
      <c r="T55" s="24"/>
      <c r="U55" s="25"/>
      <c r="V55" s="24"/>
      <c r="W55" s="26"/>
      <c r="X55" s="27"/>
      <c r="Y55" s="26"/>
      <c r="Z55" s="27"/>
      <c r="AA55" s="26"/>
      <c r="AB55" s="27"/>
      <c r="AC55" s="28"/>
      <c r="AD55" s="29"/>
      <c r="AE55" s="28"/>
      <c r="AF55" s="29"/>
      <c r="AG55" s="29"/>
      <c r="AI55" s="30"/>
      <c r="AJ55" s="22"/>
      <c r="AK55" s="22"/>
      <c r="AL55" s="22"/>
      <c r="AM55" s="31"/>
      <c r="AN55" s="22"/>
      <c r="AO55" s="32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7"/>
    </row>
    <row r="56" spans="1:62" s="14" customFormat="1" ht="11.25">
      <c r="A56" s="14">
        <v>1</v>
      </c>
      <c r="B56" s="15">
        <v>35311</v>
      </c>
      <c r="C56" s="16" t="s">
        <v>42</v>
      </c>
      <c r="D56" s="15">
        <v>3</v>
      </c>
      <c r="E56" s="15" t="s">
        <v>8</v>
      </c>
      <c r="F56" s="15" t="s">
        <v>9</v>
      </c>
      <c r="G56" s="15">
        <v>3</v>
      </c>
      <c r="H56" s="18"/>
      <c r="I56" s="18"/>
      <c r="J56" s="19"/>
      <c r="K56" s="20"/>
      <c r="L56" s="20"/>
      <c r="M56" s="20"/>
      <c r="N56" s="21"/>
      <c r="O56" s="21"/>
      <c r="P56" s="22"/>
      <c r="Q56" s="23"/>
      <c r="R56" s="24"/>
      <c r="S56" s="25"/>
      <c r="T56" s="24"/>
      <c r="U56" s="25"/>
      <c r="V56" s="24"/>
      <c r="W56" s="26"/>
      <c r="X56" s="27"/>
      <c r="Y56" s="26"/>
      <c r="Z56" s="27"/>
      <c r="AA56" s="26"/>
      <c r="AB56" s="27"/>
      <c r="AC56" s="28"/>
      <c r="AD56" s="29"/>
      <c r="AE56" s="28"/>
      <c r="AF56" s="29"/>
      <c r="AG56" s="29"/>
      <c r="AI56" s="30"/>
      <c r="AJ56" s="22"/>
      <c r="AK56" s="22"/>
      <c r="AL56" s="22"/>
      <c r="AM56" s="31"/>
      <c r="AN56" s="22"/>
      <c r="AO56" s="32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</row>
    <row r="57" spans="1:40" ht="12.75">
      <c r="A57" s="1">
        <v>1</v>
      </c>
      <c r="B57" s="1">
        <v>35604</v>
      </c>
      <c r="C57" s="53" t="s">
        <v>122</v>
      </c>
      <c r="D57" s="1" t="s">
        <v>96</v>
      </c>
      <c r="E57" s="1" t="s">
        <v>41</v>
      </c>
      <c r="F57" s="1" t="s">
        <v>97</v>
      </c>
      <c r="G57" s="1">
        <v>1</v>
      </c>
      <c r="J57" s="34"/>
      <c r="K57" s="35"/>
      <c r="L57" s="35"/>
      <c r="M57" s="35"/>
      <c r="N57" s="36"/>
      <c r="O57" s="36"/>
      <c r="P57" s="22"/>
      <c r="Q57" s="23"/>
      <c r="R57" s="42"/>
      <c r="S57" s="23"/>
      <c r="T57" s="42"/>
      <c r="U57" s="23"/>
      <c r="V57" s="42"/>
      <c r="W57" s="43"/>
      <c r="X57" s="44"/>
      <c r="AC57" s="46"/>
      <c r="AD57" s="36"/>
      <c r="AE57" s="46"/>
      <c r="AF57" s="36"/>
      <c r="AG57" s="36"/>
      <c r="AJ57" s="22"/>
      <c r="AK57" s="22"/>
      <c r="AL57" s="22"/>
      <c r="AM57" s="31"/>
      <c r="AN57" s="22"/>
    </row>
    <row r="58" spans="1:40" ht="12.75">
      <c r="A58" s="1">
        <v>1</v>
      </c>
      <c r="B58" s="1">
        <v>35585</v>
      </c>
      <c r="C58" s="53" t="s">
        <v>142</v>
      </c>
      <c r="D58" s="1" t="s">
        <v>96</v>
      </c>
      <c r="E58" s="1" t="s">
        <v>41</v>
      </c>
      <c r="F58" s="1" t="s">
        <v>97</v>
      </c>
      <c r="G58" s="1">
        <v>2</v>
      </c>
      <c r="J58" s="34"/>
      <c r="K58" s="35"/>
      <c r="L58" s="35"/>
      <c r="M58" s="35"/>
      <c r="N58" s="36"/>
      <c r="O58" s="36"/>
      <c r="P58" s="22"/>
      <c r="Q58" s="23"/>
      <c r="R58" s="42"/>
      <c r="S58" s="23"/>
      <c r="T58" s="42"/>
      <c r="U58" s="43"/>
      <c r="V58" s="42"/>
      <c r="W58" s="43"/>
      <c r="X58" s="44"/>
      <c r="Y58" s="45"/>
      <c r="AC58" s="46"/>
      <c r="AD58" s="36"/>
      <c r="AE58" s="46"/>
      <c r="AF58" s="36"/>
      <c r="AG58" s="36"/>
      <c r="AJ58" s="22"/>
      <c r="AK58" s="63"/>
      <c r="AL58" s="22"/>
      <c r="AM58" s="31"/>
      <c r="AN58" s="22"/>
    </row>
    <row r="59" spans="1:40" ht="12.75">
      <c r="A59" s="1">
        <v>1</v>
      </c>
      <c r="B59" s="1">
        <v>35615</v>
      </c>
      <c r="C59" s="33" t="s">
        <v>137</v>
      </c>
      <c r="D59" s="1" t="s">
        <v>100</v>
      </c>
      <c r="E59" s="1" t="s">
        <v>41</v>
      </c>
      <c r="F59" s="1" t="s">
        <v>97</v>
      </c>
      <c r="G59" s="1">
        <v>1</v>
      </c>
      <c r="J59" s="34"/>
      <c r="K59" s="35"/>
      <c r="L59" s="35"/>
      <c r="M59" s="35"/>
      <c r="N59" s="36"/>
      <c r="O59" s="36"/>
      <c r="P59" s="22"/>
      <c r="R59" s="18"/>
      <c r="S59" s="47"/>
      <c r="T59" s="18"/>
      <c r="U59" s="47"/>
      <c r="W59" s="45"/>
      <c r="Y59" s="45"/>
      <c r="AA59" s="45"/>
      <c r="AC59" s="38"/>
      <c r="AE59" s="38"/>
      <c r="AF59" s="35"/>
      <c r="AG59" s="35"/>
      <c r="AJ59" s="22"/>
      <c r="AK59" s="22"/>
      <c r="AL59" s="22"/>
      <c r="AM59" s="31"/>
      <c r="AN59" s="22"/>
    </row>
    <row r="60" spans="1:40" ht="12.75">
      <c r="A60" s="1">
        <v>1</v>
      </c>
      <c r="B60" s="1">
        <v>35618</v>
      </c>
      <c r="C60" s="33" t="s">
        <v>99</v>
      </c>
      <c r="D60" s="1" t="s">
        <v>100</v>
      </c>
      <c r="E60" s="1" t="s">
        <v>41</v>
      </c>
      <c r="F60" s="1" t="s">
        <v>97</v>
      </c>
      <c r="G60" s="1">
        <v>3</v>
      </c>
      <c r="J60" s="34"/>
      <c r="K60" s="35"/>
      <c r="L60" s="35"/>
      <c r="M60" s="35"/>
      <c r="N60" s="36"/>
      <c r="O60" s="36"/>
      <c r="P60" s="22"/>
      <c r="R60" s="18"/>
      <c r="S60" s="47"/>
      <c r="T60" s="18"/>
      <c r="U60" s="47"/>
      <c r="W60" s="45"/>
      <c r="Y60" s="45"/>
      <c r="AA60" s="45"/>
      <c r="AC60" s="38"/>
      <c r="AE60" s="38"/>
      <c r="AF60" s="35"/>
      <c r="AG60" s="35"/>
      <c r="AJ60" s="22"/>
      <c r="AK60" s="22"/>
      <c r="AL60" s="22"/>
      <c r="AM60" s="31"/>
      <c r="AN60" s="22"/>
    </row>
    <row r="61" spans="1:40" ht="12.75">
      <c r="A61" s="1">
        <v>1</v>
      </c>
      <c r="B61" s="1">
        <v>35609</v>
      </c>
      <c r="C61" s="33" t="s">
        <v>95</v>
      </c>
      <c r="D61" s="1" t="s">
        <v>96</v>
      </c>
      <c r="E61" s="1" t="s">
        <v>41</v>
      </c>
      <c r="F61" s="1" t="s">
        <v>97</v>
      </c>
      <c r="G61" s="1">
        <v>2</v>
      </c>
      <c r="J61" s="34"/>
      <c r="K61" s="35"/>
      <c r="L61" s="35"/>
      <c r="M61" s="35"/>
      <c r="N61" s="36"/>
      <c r="O61" s="36"/>
      <c r="P61" s="22"/>
      <c r="R61" s="18"/>
      <c r="S61" s="47"/>
      <c r="T61" s="18"/>
      <c r="U61" s="47"/>
      <c r="W61" s="45"/>
      <c r="Y61" s="45"/>
      <c r="AA61" s="45"/>
      <c r="AC61" s="38"/>
      <c r="AE61" s="38"/>
      <c r="AF61" s="35"/>
      <c r="AG61" s="35"/>
      <c r="AJ61" s="22"/>
      <c r="AK61" s="22"/>
      <c r="AL61" s="22"/>
      <c r="AM61" s="31"/>
      <c r="AN61" s="22"/>
    </row>
    <row r="62" spans="1:40" ht="12.75">
      <c r="A62" s="1">
        <v>1</v>
      </c>
      <c r="B62" s="1">
        <v>35626</v>
      </c>
      <c r="C62" s="33" t="s">
        <v>132</v>
      </c>
      <c r="D62" s="1" t="s">
        <v>96</v>
      </c>
      <c r="E62" s="1" t="s">
        <v>41</v>
      </c>
      <c r="F62" s="1" t="s">
        <v>97</v>
      </c>
      <c r="G62" s="1">
        <v>3</v>
      </c>
      <c r="J62" s="34"/>
      <c r="K62" s="35"/>
      <c r="L62" s="35"/>
      <c r="M62" s="35"/>
      <c r="N62" s="36"/>
      <c r="O62" s="36"/>
      <c r="P62" s="22"/>
      <c r="R62" s="18"/>
      <c r="S62" s="47"/>
      <c r="T62" s="18"/>
      <c r="U62" s="47"/>
      <c r="V62" s="37"/>
      <c r="W62" s="45"/>
      <c r="Y62" s="45"/>
      <c r="AA62" s="45"/>
      <c r="AC62" s="38"/>
      <c r="AE62" s="38"/>
      <c r="AF62" s="35"/>
      <c r="AG62" s="35"/>
      <c r="AJ62" s="22"/>
      <c r="AK62" s="22"/>
      <c r="AL62" s="22"/>
      <c r="AM62" s="31"/>
      <c r="AN62" s="22"/>
    </row>
    <row r="63" spans="1:40" ht="12.75">
      <c r="A63" s="1">
        <v>1</v>
      </c>
      <c r="B63" s="1">
        <v>35613</v>
      </c>
      <c r="C63" s="33" t="s">
        <v>130</v>
      </c>
      <c r="D63" s="1" t="s">
        <v>100</v>
      </c>
      <c r="E63" s="1" t="s">
        <v>41</v>
      </c>
      <c r="F63" s="1" t="s">
        <v>97</v>
      </c>
      <c r="G63" s="1">
        <v>3</v>
      </c>
      <c r="J63" s="34"/>
      <c r="K63" s="35"/>
      <c r="L63" s="35"/>
      <c r="M63" s="35"/>
      <c r="N63" s="36"/>
      <c r="O63" s="36"/>
      <c r="P63" s="22"/>
      <c r="R63" s="18"/>
      <c r="S63" s="47"/>
      <c r="T63" s="18"/>
      <c r="U63" s="47"/>
      <c r="V63" s="37"/>
      <c r="W63" s="45"/>
      <c r="Y63" s="45"/>
      <c r="AA63" s="45"/>
      <c r="AC63" s="38"/>
      <c r="AE63" s="38"/>
      <c r="AF63" s="35"/>
      <c r="AG63" s="35"/>
      <c r="AJ63" s="22"/>
      <c r="AK63" s="22"/>
      <c r="AL63" s="22"/>
      <c r="AM63" s="31"/>
      <c r="AN63" s="22"/>
    </row>
    <row r="64" spans="1:40" ht="12.75">
      <c r="A64" s="1">
        <v>1</v>
      </c>
      <c r="B64" s="1">
        <v>35621</v>
      </c>
      <c r="C64" s="33" t="s">
        <v>161</v>
      </c>
      <c r="D64" s="1" t="s">
        <v>96</v>
      </c>
      <c r="E64" s="1" t="s">
        <v>41</v>
      </c>
      <c r="F64" s="1" t="s">
        <v>97</v>
      </c>
      <c r="G64" s="1">
        <v>4</v>
      </c>
      <c r="J64" s="34"/>
      <c r="K64" s="35"/>
      <c r="L64" s="35"/>
      <c r="M64" s="35"/>
      <c r="N64" s="36"/>
      <c r="O64" s="36"/>
      <c r="P64" s="22"/>
      <c r="R64" s="18"/>
      <c r="S64" s="47"/>
      <c r="T64" s="18"/>
      <c r="U64" s="47"/>
      <c r="V64" s="37"/>
      <c r="W64" s="45"/>
      <c r="Y64" s="45"/>
      <c r="AA64" s="45"/>
      <c r="AC64" s="38"/>
      <c r="AE64" s="38"/>
      <c r="AF64" s="35"/>
      <c r="AG64" s="35"/>
      <c r="AJ64" s="22"/>
      <c r="AK64" s="22"/>
      <c r="AL64" s="22"/>
      <c r="AM64" s="31"/>
      <c r="AN64" s="22"/>
    </row>
    <row r="65" spans="1:40" ht="12.75">
      <c r="A65" s="1">
        <v>1</v>
      </c>
      <c r="B65" s="1">
        <v>35627</v>
      </c>
      <c r="C65" s="33" t="s">
        <v>98</v>
      </c>
      <c r="D65" s="1" t="s">
        <v>96</v>
      </c>
      <c r="E65" s="1" t="s">
        <v>8</v>
      </c>
      <c r="F65" s="1" t="s">
        <v>97</v>
      </c>
      <c r="G65" s="1">
        <v>3</v>
      </c>
      <c r="J65" s="34"/>
      <c r="K65" s="35"/>
      <c r="L65" s="35"/>
      <c r="M65" s="35"/>
      <c r="N65" s="36"/>
      <c r="O65" s="36"/>
      <c r="P65" s="22"/>
      <c r="R65" s="18"/>
      <c r="S65" s="47"/>
      <c r="T65" s="18"/>
      <c r="U65" s="47"/>
      <c r="W65" s="45"/>
      <c r="Y65" s="45"/>
      <c r="AA65" s="45"/>
      <c r="AC65" s="38"/>
      <c r="AE65" s="38"/>
      <c r="AF65" s="35"/>
      <c r="AG65" s="35"/>
      <c r="AJ65" s="22"/>
      <c r="AK65" s="22"/>
      <c r="AL65" s="22"/>
      <c r="AM65" s="31"/>
      <c r="AN65" s="22"/>
    </row>
    <row r="66" spans="1:40" ht="12.75">
      <c r="A66" s="1">
        <v>1</v>
      </c>
      <c r="B66" s="1">
        <v>35624</v>
      </c>
      <c r="C66" s="33" t="s">
        <v>143</v>
      </c>
      <c r="D66" s="1" t="s">
        <v>96</v>
      </c>
      <c r="E66" s="1" t="s">
        <v>8</v>
      </c>
      <c r="F66" s="1" t="s">
        <v>97</v>
      </c>
      <c r="G66" s="1">
        <v>2</v>
      </c>
      <c r="J66" s="34"/>
      <c r="K66" s="35"/>
      <c r="L66" s="35"/>
      <c r="M66" s="35"/>
      <c r="N66" s="36"/>
      <c r="O66" s="36"/>
      <c r="P66" s="22"/>
      <c r="R66" s="18"/>
      <c r="S66" s="47"/>
      <c r="T66" s="18"/>
      <c r="U66" s="47"/>
      <c r="W66" s="45"/>
      <c r="Y66" s="45"/>
      <c r="AA66" s="45"/>
      <c r="AC66" s="38"/>
      <c r="AE66" s="38"/>
      <c r="AF66" s="35"/>
      <c r="AG66" s="35"/>
      <c r="AJ66" s="22"/>
      <c r="AK66" s="22"/>
      <c r="AL66" s="22"/>
      <c r="AM66" s="31"/>
      <c r="AN66" s="22"/>
    </row>
    <row r="67" spans="1:40" ht="12.75">
      <c r="A67" s="1">
        <v>1</v>
      </c>
      <c r="B67" s="1">
        <v>35625</v>
      </c>
      <c r="C67" s="33" t="s">
        <v>125</v>
      </c>
      <c r="D67" s="1" t="s">
        <v>96</v>
      </c>
      <c r="E67" s="1" t="s">
        <v>8</v>
      </c>
      <c r="F67" s="1" t="s">
        <v>97</v>
      </c>
      <c r="G67" s="1">
        <v>2</v>
      </c>
      <c r="J67" s="34"/>
      <c r="K67" s="35"/>
      <c r="L67" s="35"/>
      <c r="M67" s="35"/>
      <c r="N67" s="36"/>
      <c r="O67" s="36"/>
      <c r="P67" s="22"/>
      <c r="R67" s="18"/>
      <c r="S67" s="47"/>
      <c r="T67" s="18"/>
      <c r="U67" s="47"/>
      <c r="W67" s="45"/>
      <c r="Y67" s="45"/>
      <c r="AA67" s="45"/>
      <c r="AC67" s="38"/>
      <c r="AE67" s="38"/>
      <c r="AF67" s="35"/>
      <c r="AG67" s="35"/>
      <c r="AJ67" s="22"/>
      <c r="AK67" s="22"/>
      <c r="AL67" s="22"/>
      <c r="AM67" s="31"/>
      <c r="AN67" s="22"/>
    </row>
    <row r="68" spans="1:40" ht="12.75">
      <c r="A68" s="1">
        <v>1</v>
      </c>
      <c r="B68" s="1">
        <v>35575</v>
      </c>
      <c r="C68" s="33" t="s">
        <v>113</v>
      </c>
      <c r="D68" s="1" t="s">
        <v>96</v>
      </c>
      <c r="E68" s="1" t="s">
        <v>41</v>
      </c>
      <c r="F68" s="1" t="s">
        <v>114</v>
      </c>
      <c r="G68" s="1">
        <v>1</v>
      </c>
      <c r="J68" s="34"/>
      <c r="K68" s="35"/>
      <c r="L68" s="35"/>
      <c r="M68" s="35"/>
      <c r="N68" s="36"/>
      <c r="O68" s="36"/>
      <c r="P68" s="22"/>
      <c r="Q68" s="23"/>
      <c r="R68" s="42"/>
      <c r="S68" s="23"/>
      <c r="T68" s="42"/>
      <c r="U68" s="23"/>
      <c r="V68" s="42"/>
      <c r="W68" s="43"/>
      <c r="X68" s="44"/>
      <c r="Y68" s="45"/>
      <c r="AC68" s="46"/>
      <c r="AD68" s="36"/>
      <c r="AE68" s="46"/>
      <c r="AF68" s="36"/>
      <c r="AG68" s="36"/>
      <c r="AI68" s="39"/>
      <c r="AJ68" s="22"/>
      <c r="AK68" s="22"/>
      <c r="AL68" s="22"/>
      <c r="AM68" s="31"/>
      <c r="AN68" s="22"/>
    </row>
    <row r="69" spans="1:40" ht="12.75">
      <c r="A69" s="1">
        <v>1</v>
      </c>
      <c r="B69" s="1">
        <v>35540</v>
      </c>
      <c r="C69" s="33" t="s">
        <v>127</v>
      </c>
      <c r="D69" s="1" t="s">
        <v>96</v>
      </c>
      <c r="E69" s="1" t="s">
        <v>8</v>
      </c>
      <c r="F69" s="1" t="s">
        <v>114</v>
      </c>
      <c r="G69" s="1">
        <v>1</v>
      </c>
      <c r="J69" s="34"/>
      <c r="K69" s="35"/>
      <c r="L69" s="35"/>
      <c r="M69" s="35"/>
      <c r="N69" s="36"/>
      <c r="O69" s="36"/>
      <c r="P69" s="22"/>
      <c r="Q69" s="23"/>
      <c r="R69" s="42"/>
      <c r="S69" s="23"/>
      <c r="T69" s="42"/>
      <c r="U69" s="23"/>
      <c r="V69" s="42"/>
      <c r="W69" s="43"/>
      <c r="X69" s="44"/>
      <c r="AA69" s="45"/>
      <c r="AC69" s="46"/>
      <c r="AD69" s="36"/>
      <c r="AE69" s="46"/>
      <c r="AF69" s="36"/>
      <c r="AG69" s="36"/>
      <c r="AI69" s="39"/>
      <c r="AJ69" s="22"/>
      <c r="AK69" s="22"/>
      <c r="AL69" s="22"/>
      <c r="AM69" s="31"/>
      <c r="AN69" s="22"/>
    </row>
    <row r="70" spans="1:62" s="14" customFormat="1" ht="11.25">
      <c r="A70" s="14">
        <v>1</v>
      </c>
      <c r="B70" s="15">
        <v>35122</v>
      </c>
      <c r="C70" s="16" t="s">
        <v>10</v>
      </c>
      <c r="D70" s="15">
        <v>2</v>
      </c>
      <c r="E70" s="15" t="s">
        <v>8</v>
      </c>
      <c r="F70" s="15" t="s">
        <v>11</v>
      </c>
      <c r="G70" s="15">
        <v>1</v>
      </c>
      <c r="H70" s="18"/>
      <c r="I70" s="18"/>
      <c r="J70" s="19"/>
      <c r="K70" s="20"/>
      <c r="L70" s="20"/>
      <c r="M70" s="20"/>
      <c r="N70" s="21"/>
      <c r="O70" s="21"/>
      <c r="P70" s="22"/>
      <c r="Q70" s="25"/>
      <c r="R70" s="24"/>
      <c r="S70" s="25"/>
      <c r="T70" s="24"/>
      <c r="U70" s="25"/>
      <c r="V70" s="24"/>
      <c r="W70" s="26"/>
      <c r="X70" s="27"/>
      <c r="Y70" s="26"/>
      <c r="Z70" s="27"/>
      <c r="AA70" s="26"/>
      <c r="AB70" s="27"/>
      <c r="AC70" s="28"/>
      <c r="AD70" s="29"/>
      <c r="AE70" s="28"/>
      <c r="AF70" s="29"/>
      <c r="AG70" s="29"/>
      <c r="AI70" s="30"/>
      <c r="AJ70" s="22"/>
      <c r="AK70" s="22"/>
      <c r="AL70" s="22"/>
      <c r="AM70" s="31"/>
      <c r="AN70" s="22"/>
      <c r="AO70" s="32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7"/>
    </row>
    <row r="71" spans="1:40" s="14" customFormat="1" ht="11.25">
      <c r="A71" s="14">
        <v>1</v>
      </c>
      <c r="B71" s="14">
        <v>35035</v>
      </c>
      <c r="C71" s="16" t="s">
        <v>22</v>
      </c>
      <c r="E71" s="14" t="s">
        <v>8</v>
      </c>
      <c r="F71" s="14" t="s">
        <v>13</v>
      </c>
      <c r="G71" s="14">
        <v>2</v>
      </c>
      <c r="H71" s="18"/>
      <c r="I71" s="18"/>
      <c r="J71" s="19"/>
      <c r="K71" s="20"/>
      <c r="L71" s="20"/>
      <c r="M71" s="20"/>
      <c r="N71" s="21"/>
      <c r="O71" s="21"/>
      <c r="P71" s="22"/>
      <c r="Q71" s="23"/>
      <c r="R71" s="42"/>
      <c r="S71" s="23"/>
      <c r="T71" s="42"/>
      <c r="U71" s="23"/>
      <c r="V71" s="42"/>
      <c r="W71" s="43"/>
      <c r="X71" s="44"/>
      <c r="Y71" s="43"/>
      <c r="Z71" s="44"/>
      <c r="AA71" s="43"/>
      <c r="AB71" s="44"/>
      <c r="AC71" s="40"/>
      <c r="AD71" s="41"/>
      <c r="AE71" s="40"/>
      <c r="AF71" s="41"/>
      <c r="AG71" s="41"/>
      <c r="AI71" s="30"/>
      <c r="AJ71" s="22"/>
      <c r="AK71" s="22"/>
      <c r="AL71" s="22"/>
      <c r="AM71" s="31"/>
      <c r="AN71" s="22"/>
    </row>
    <row r="72" spans="1:40" s="14" customFormat="1" ht="11.25">
      <c r="A72" s="14">
        <v>1</v>
      </c>
      <c r="B72" s="14">
        <v>35037</v>
      </c>
      <c r="C72" s="16" t="s">
        <v>23</v>
      </c>
      <c r="E72" s="14" t="s">
        <v>8</v>
      </c>
      <c r="F72" s="14" t="s">
        <v>13</v>
      </c>
      <c r="G72" s="14">
        <v>2</v>
      </c>
      <c r="H72" s="18"/>
      <c r="I72" s="18"/>
      <c r="J72" s="19"/>
      <c r="K72" s="20"/>
      <c r="L72" s="20"/>
      <c r="M72" s="20"/>
      <c r="N72" s="21"/>
      <c r="O72" s="21"/>
      <c r="P72" s="22"/>
      <c r="Q72" s="23"/>
      <c r="R72" s="42"/>
      <c r="S72" s="23"/>
      <c r="T72" s="42"/>
      <c r="U72" s="23"/>
      <c r="V72" s="42"/>
      <c r="W72" s="43"/>
      <c r="X72" s="44"/>
      <c r="Y72" s="43"/>
      <c r="Z72" s="44"/>
      <c r="AA72" s="43"/>
      <c r="AB72" s="44"/>
      <c r="AC72" s="40"/>
      <c r="AD72" s="41"/>
      <c r="AE72" s="40"/>
      <c r="AF72" s="41"/>
      <c r="AG72" s="41"/>
      <c r="AI72" s="30"/>
      <c r="AJ72" s="22"/>
      <c r="AK72" s="22"/>
      <c r="AL72" s="22"/>
      <c r="AM72" s="31"/>
      <c r="AN72" s="22"/>
    </row>
    <row r="73" spans="1:40" ht="12.75">
      <c r="A73" s="1">
        <v>1</v>
      </c>
      <c r="B73" s="1">
        <v>35630</v>
      </c>
      <c r="C73" s="33" t="s">
        <v>12</v>
      </c>
      <c r="E73" s="1" t="s">
        <v>8</v>
      </c>
      <c r="F73" s="1" t="s">
        <v>13</v>
      </c>
      <c r="G73" s="1">
        <v>1</v>
      </c>
      <c r="J73" s="34"/>
      <c r="K73" s="35"/>
      <c r="L73" s="35"/>
      <c r="M73" s="35"/>
      <c r="N73" s="36"/>
      <c r="O73" s="36"/>
      <c r="P73" s="22"/>
      <c r="Q73" s="23"/>
      <c r="R73" s="24"/>
      <c r="S73" s="25"/>
      <c r="T73" s="24"/>
      <c r="U73" s="25"/>
      <c r="V73" s="24"/>
      <c r="W73" s="26"/>
      <c r="X73" s="27"/>
      <c r="Y73" s="26"/>
      <c r="Z73" s="27"/>
      <c r="AA73" s="26"/>
      <c r="AC73" s="38"/>
      <c r="AE73" s="38"/>
      <c r="AF73" s="35"/>
      <c r="AG73" s="35"/>
      <c r="AI73" s="30"/>
      <c r="AJ73" s="22"/>
      <c r="AK73" s="22"/>
      <c r="AL73" s="22"/>
      <c r="AM73" s="31"/>
      <c r="AN73" s="22"/>
    </row>
    <row r="74" spans="1:62" s="14" customFormat="1" ht="11.25">
      <c r="A74" s="14">
        <v>1</v>
      </c>
      <c r="B74" s="15">
        <v>35536</v>
      </c>
      <c r="C74" s="16" t="s">
        <v>35</v>
      </c>
      <c r="D74" s="15">
        <v>1</v>
      </c>
      <c r="E74" s="15" t="s">
        <v>8</v>
      </c>
      <c r="F74" s="15" t="s">
        <v>11</v>
      </c>
      <c r="G74" s="15">
        <v>3</v>
      </c>
      <c r="H74" s="18"/>
      <c r="I74" s="18"/>
      <c r="J74" s="19"/>
      <c r="K74" s="20"/>
      <c r="L74" s="20"/>
      <c r="M74" s="20"/>
      <c r="N74" s="21"/>
      <c r="O74" s="21"/>
      <c r="P74" s="22"/>
      <c r="Q74" s="23"/>
      <c r="R74" s="24"/>
      <c r="S74" s="25"/>
      <c r="T74" s="24"/>
      <c r="U74" s="25"/>
      <c r="V74" s="24"/>
      <c r="W74" s="26"/>
      <c r="X74" s="27"/>
      <c r="Y74" s="26"/>
      <c r="Z74" s="27"/>
      <c r="AA74" s="26"/>
      <c r="AB74" s="27"/>
      <c r="AC74" s="28"/>
      <c r="AD74" s="29"/>
      <c r="AE74" s="28"/>
      <c r="AF74" s="29"/>
      <c r="AG74" s="29"/>
      <c r="AI74" s="30"/>
      <c r="AJ74" s="22"/>
      <c r="AK74" s="22"/>
      <c r="AL74" s="22"/>
      <c r="AM74" s="31"/>
      <c r="AN74" s="22"/>
      <c r="AO74" s="32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7"/>
    </row>
    <row r="75" spans="1:40" ht="12.75">
      <c r="A75" s="1">
        <v>1</v>
      </c>
      <c r="B75" s="1">
        <v>35134</v>
      </c>
      <c r="C75" s="33" t="s">
        <v>48</v>
      </c>
      <c r="E75" s="1" t="s">
        <v>8</v>
      </c>
      <c r="F75" s="1" t="s">
        <v>13</v>
      </c>
      <c r="G75" s="1">
        <v>3</v>
      </c>
      <c r="J75" s="34"/>
      <c r="K75" s="35"/>
      <c r="L75" s="35"/>
      <c r="M75" s="35"/>
      <c r="N75" s="36"/>
      <c r="O75" s="36"/>
      <c r="P75" s="22"/>
      <c r="R75" s="18"/>
      <c r="S75" s="47"/>
      <c r="T75" s="18"/>
      <c r="U75" s="47"/>
      <c r="W75" s="45"/>
      <c r="Y75" s="45"/>
      <c r="AA75" s="45"/>
      <c r="AC75" s="38"/>
      <c r="AE75" s="38"/>
      <c r="AF75" s="35"/>
      <c r="AG75" s="35"/>
      <c r="AI75" s="30"/>
      <c r="AJ75" s="22"/>
      <c r="AK75" s="22"/>
      <c r="AL75" s="22"/>
      <c r="AM75" s="31"/>
      <c r="AN75" s="22"/>
    </row>
    <row r="76" spans="1:40" ht="12.75">
      <c r="A76" s="1">
        <v>1</v>
      </c>
      <c r="B76" s="1">
        <v>35198</v>
      </c>
      <c r="C76" s="53" t="s">
        <v>86</v>
      </c>
      <c r="E76" s="1" t="s">
        <v>8</v>
      </c>
      <c r="F76" s="1" t="s">
        <v>13</v>
      </c>
      <c r="G76" s="1">
        <v>6</v>
      </c>
      <c r="J76" s="34"/>
      <c r="K76" s="35"/>
      <c r="L76" s="35"/>
      <c r="M76" s="35"/>
      <c r="N76" s="36"/>
      <c r="O76" s="36"/>
      <c r="P76" s="22"/>
      <c r="R76" s="42"/>
      <c r="S76" s="47"/>
      <c r="T76" s="42"/>
      <c r="U76" s="23"/>
      <c r="V76" s="42"/>
      <c r="W76" s="43"/>
      <c r="X76" s="44"/>
      <c r="Y76" s="43"/>
      <c r="Z76" s="44"/>
      <c r="AB76" s="54"/>
      <c r="AC76" s="46"/>
      <c r="AD76" s="36"/>
      <c r="AE76" s="46"/>
      <c r="AF76" s="36"/>
      <c r="AG76" s="36"/>
      <c r="AI76" s="30"/>
      <c r="AJ76" s="22"/>
      <c r="AK76" s="22"/>
      <c r="AL76" s="22"/>
      <c r="AM76" s="31"/>
      <c r="AN76" s="22"/>
    </row>
    <row r="77" spans="1:40" ht="12.75">
      <c r="A77" s="1">
        <v>1</v>
      </c>
      <c r="B77" s="1">
        <v>35524</v>
      </c>
      <c r="C77" s="53" t="s">
        <v>68</v>
      </c>
      <c r="E77" s="1" t="s">
        <v>8</v>
      </c>
      <c r="F77" s="1" t="s">
        <v>13</v>
      </c>
      <c r="G77" s="1" t="s">
        <v>15</v>
      </c>
      <c r="J77" s="34"/>
      <c r="K77" s="35"/>
      <c r="L77" s="35"/>
      <c r="M77" s="35"/>
      <c r="N77" s="36"/>
      <c r="O77" s="36"/>
      <c r="P77" s="22"/>
      <c r="R77" s="42"/>
      <c r="S77" s="47"/>
      <c r="T77" s="42"/>
      <c r="U77" s="23"/>
      <c r="V77" s="42"/>
      <c r="W77" s="43"/>
      <c r="X77" s="44"/>
      <c r="Y77" s="43"/>
      <c r="Z77" s="44"/>
      <c r="AB77" s="54"/>
      <c r="AC77" s="46"/>
      <c r="AD77" s="36"/>
      <c r="AE77" s="46"/>
      <c r="AF77" s="36"/>
      <c r="AG77" s="36"/>
      <c r="AI77" s="30"/>
      <c r="AJ77" s="22"/>
      <c r="AK77" s="22"/>
      <c r="AL77" s="22"/>
      <c r="AM77" s="31"/>
      <c r="AN77" s="22"/>
    </row>
    <row r="78" spans="1:62" s="14" customFormat="1" ht="11.25">
      <c r="A78" s="14">
        <v>1</v>
      </c>
      <c r="B78" s="15">
        <v>35349</v>
      </c>
      <c r="C78" s="16" t="s">
        <v>24</v>
      </c>
      <c r="D78" s="15"/>
      <c r="E78" s="15" t="s">
        <v>8</v>
      </c>
      <c r="F78" s="15" t="s">
        <v>25</v>
      </c>
      <c r="G78" s="15">
        <v>2</v>
      </c>
      <c r="H78" s="18"/>
      <c r="I78" s="18"/>
      <c r="J78" s="19"/>
      <c r="K78" s="20"/>
      <c r="L78" s="20"/>
      <c r="M78" s="20"/>
      <c r="N78" s="21"/>
      <c r="O78" s="21"/>
      <c r="P78" s="22"/>
      <c r="Q78" s="23"/>
      <c r="R78" s="24"/>
      <c r="S78" s="25"/>
      <c r="T78" s="24"/>
      <c r="U78" s="25"/>
      <c r="V78" s="24"/>
      <c r="W78" s="26"/>
      <c r="X78" s="27"/>
      <c r="Y78" s="26"/>
      <c r="Z78" s="27"/>
      <c r="AA78" s="26"/>
      <c r="AB78" s="27"/>
      <c r="AC78" s="28"/>
      <c r="AD78" s="29"/>
      <c r="AE78" s="28"/>
      <c r="AF78" s="29"/>
      <c r="AG78" s="29"/>
      <c r="AI78" s="30"/>
      <c r="AJ78" s="22"/>
      <c r="AK78" s="22"/>
      <c r="AL78" s="22"/>
      <c r="AM78" s="31"/>
      <c r="AN78" s="22"/>
      <c r="AO78" s="32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7"/>
    </row>
    <row r="79" spans="1:62" s="14" customFormat="1" ht="11.25">
      <c r="A79" s="14">
        <v>1</v>
      </c>
      <c r="B79" s="15">
        <v>35020</v>
      </c>
      <c r="C79" s="16" t="s">
        <v>38</v>
      </c>
      <c r="D79" s="15"/>
      <c r="E79" s="15" t="s">
        <v>8</v>
      </c>
      <c r="F79" s="15" t="s">
        <v>25</v>
      </c>
      <c r="G79" s="15">
        <v>4</v>
      </c>
      <c r="H79" s="18"/>
      <c r="I79" s="18"/>
      <c r="J79" s="19"/>
      <c r="K79" s="20"/>
      <c r="L79" s="20"/>
      <c r="M79" s="20"/>
      <c r="N79" s="21"/>
      <c r="O79" s="21"/>
      <c r="P79" s="22"/>
      <c r="Q79" s="23"/>
      <c r="R79" s="24"/>
      <c r="S79" s="25"/>
      <c r="T79" s="24"/>
      <c r="U79" s="25"/>
      <c r="V79" s="24"/>
      <c r="W79" s="26"/>
      <c r="X79" s="27"/>
      <c r="Y79" s="26"/>
      <c r="Z79" s="27"/>
      <c r="AA79" s="26"/>
      <c r="AB79" s="27"/>
      <c r="AC79" s="28"/>
      <c r="AD79" s="29"/>
      <c r="AE79" s="28"/>
      <c r="AF79" s="29"/>
      <c r="AG79" s="29"/>
      <c r="AI79" s="30"/>
      <c r="AJ79" s="22"/>
      <c r="AK79" s="22"/>
      <c r="AL79" s="22"/>
      <c r="AM79" s="31"/>
      <c r="AN79" s="22"/>
      <c r="AO79" s="32"/>
      <c r="AX79" s="17"/>
      <c r="AY79" s="17"/>
      <c r="AZ79" s="17"/>
      <c r="BA79" s="17"/>
      <c r="BB79" s="17"/>
      <c r="BC79" s="17"/>
      <c r="BD79" s="17"/>
      <c r="BE79" s="17"/>
      <c r="BF79" s="17"/>
      <c r="BG79" s="17"/>
      <c r="BH79" s="17"/>
      <c r="BI79" s="17"/>
      <c r="BJ79" s="17"/>
    </row>
    <row r="80" spans="1:40" s="14" customFormat="1" ht="11.25">
      <c r="A80" s="14">
        <v>1</v>
      </c>
      <c r="B80" s="14">
        <v>35092</v>
      </c>
      <c r="C80" s="16" t="s">
        <v>46</v>
      </c>
      <c r="E80" s="14" t="s">
        <v>8</v>
      </c>
      <c r="F80" s="14" t="s">
        <v>25</v>
      </c>
      <c r="G80" s="14">
        <v>4</v>
      </c>
      <c r="H80" s="18"/>
      <c r="I80" s="18"/>
      <c r="J80" s="19"/>
      <c r="K80" s="20"/>
      <c r="L80" s="20"/>
      <c r="M80" s="20"/>
      <c r="N80" s="21"/>
      <c r="O80" s="21"/>
      <c r="P80" s="22"/>
      <c r="Q80" s="23"/>
      <c r="R80" s="42"/>
      <c r="S80" s="23"/>
      <c r="T80" s="42"/>
      <c r="U80" s="23"/>
      <c r="V80" s="42"/>
      <c r="W80" s="43"/>
      <c r="X80" s="44"/>
      <c r="Y80" s="43"/>
      <c r="Z80" s="44"/>
      <c r="AA80" s="43"/>
      <c r="AB80" s="44"/>
      <c r="AC80" s="40"/>
      <c r="AD80" s="41"/>
      <c r="AE80" s="40"/>
      <c r="AF80" s="41"/>
      <c r="AG80" s="41"/>
      <c r="AI80" s="30"/>
      <c r="AJ80" s="22"/>
      <c r="AK80" s="22"/>
      <c r="AL80" s="22"/>
      <c r="AM80" s="31"/>
      <c r="AN80" s="22"/>
    </row>
    <row r="81" spans="1:62" s="14" customFormat="1" ht="11.25">
      <c r="A81" s="14">
        <v>1</v>
      </c>
      <c r="B81" s="15">
        <v>35031</v>
      </c>
      <c r="C81" s="16" t="s">
        <v>71</v>
      </c>
      <c r="D81" s="15"/>
      <c r="E81" s="15" t="s">
        <v>8</v>
      </c>
      <c r="F81" s="15" t="s">
        <v>25</v>
      </c>
      <c r="G81" s="15">
        <v>5</v>
      </c>
      <c r="H81" s="18"/>
      <c r="I81" s="18"/>
      <c r="J81" s="19"/>
      <c r="K81" s="20"/>
      <c r="L81" s="20"/>
      <c r="M81" s="20"/>
      <c r="N81" s="21"/>
      <c r="O81" s="21"/>
      <c r="P81" s="22"/>
      <c r="Q81" s="23"/>
      <c r="R81" s="24"/>
      <c r="S81" s="25"/>
      <c r="T81" s="24"/>
      <c r="U81" s="25"/>
      <c r="V81" s="24"/>
      <c r="W81" s="26"/>
      <c r="X81" s="27"/>
      <c r="Y81" s="26"/>
      <c r="Z81" s="27"/>
      <c r="AA81" s="26"/>
      <c r="AB81" s="27"/>
      <c r="AC81" s="28"/>
      <c r="AD81" s="29"/>
      <c r="AE81" s="28"/>
      <c r="AF81" s="29"/>
      <c r="AG81" s="29"/>
      <c r="AI81" s="30"/>
      <c r="AJ81" s="22"/>
      <c r="AK81" s="22"/>
      <c r="AL81" s="22"/>
      <c r="AM81" s="31"/>
      <c r="AN81" s="22"/>
      <c r="AO81" s="32"/>
      <c r="AX81" s="17"/>
      <c r="AY81" s="17"/>
      <c r="AZ81" s="17"/>
      <c r="BA81" s="17"/>
      <c r="BB81" s="17"/>
      <c r="BC81" s="17"/>
      <c r="BD81" s="17"/>
      <c r="BE81" s="17"/>
      <c r="BF81" s="17"/>
      <c r="BG81" s="17"/>
      <c r="BH81" s="17"/>
      <c r="BI81" s="17"/>
      <c r="BJ81" s="17"/>
    </row>
    <row r="82" spans="1:40" ht="12.75">
      <c r="A82" s="1">
        <v>1</v>
      </c>
      <c r="B82" s="1">
        <v>35197</v>
      </c>
      <c r="C82" s="33" t="s">
        <v>90</v>
      </c>
      <c r="E82" s="15" t="s">
        <v>8</v>
      </c>
      <c r="F82" s="15" t="s">
        <v>25</v>
      </c>
      <c r="G82" s="1">
        <v>6</v>
      </c>
      <c r="J82" s="34"/>
      <c r="K82" s="35"/>
      <c r="L82" s="35"/>
      <c r="M82" s="35"/>
      <c r="N82" s="36"/>
      <c r="O82" s="36"/>
      <c r="P82" s="22"/>
      <c r="R82" s="42"/>
      <c r="S82" s="47"/>
      <c r="T82" s="42"/>
      <c r="U82" s="23"/>
      <c r="V82" s="42"/>
      <c r="W82" s="43"/>
      <c r="X82" s="44"/>
      <c r="Y82" s="43"/>
      <c r="Z82" s="44"/>
      <c r="AA82" s="45"/>
      <c r="AB82" s="44"/>
      <c r="AC82" s="46"/>
      <c r="AD82" s="36"/>
      <c r="AE82" s="46"/>
      <c r="AF82" s="36"/>
      <c r="AG82" s="36"/>
      <c r="AI82" s="30"/>
      <c r="AJ82" s="22"/>
      <c r="AK82" s="22"/>
      <c r="AL82" s="22"/>
      <c r="AM82" s="31"/>
      <c r="AN82" s="22"/>
    </row>
    <row r="83" spans="2:40" ht="12.75">
      <c r="B83" s="1">
        <v>35591</v>
      </c>
      <c r="C83" s="53" t="s">
        <v>138</v>
      </c>
      <c r="D83" s="1">
        <v>2</v>
      </c>
      <c r="E83" s="1" t="s">
        <v>8</v>
      </c>
      <c r="F83" s="1" t="s">
        <v>53</v>
      </c>
      <c r="G83" s="1" t="s">
        <v>15</v>
      </c>
      <c r="J83" s="34"/>
      <c r="K83" s="35"/>
      <c r="L83" s="35"/>
      <c r="M83" s="35"/>
      <c r="N83" s="36"/>
      <c r="O83" s="36"/>
      <c r="P83" s="22"/>
      <c r="Q83" s="23"/>
      <c r="R83" s="42"/>
      <c r="S83" s="23"/>
      <c r="T83" s="42"/>
      <c r="U83" s="23"/>
      <c r="V83" s="42"/>
      <c r="W83" s="43"/>
      <c r="X83" s="44"/>
      <c r="Y83" s="45"/>
      <c r="AC83" s="46"/>
      <c r="AD83" s="36"/>
      <c r="AE83" s="46"/>
      <c r="AF83" s="36"/>
      <c r="AG83" s="36"/>
      <c r="AI83" s="30"/>
      <c r="AJ83" s="22"/>
      <c r="AK83" s="22"/>
      <c r="AL83" s="22"/>
      <c r="AM83" s="31"/>
      <c r="AN83" s="22"/>
    </row>
    <row r="84" spans="2:62" s="14" customFormat="1" ht="11.25">
      <c r="B84" s="15">
        <v>35457</v>
      </c>
      <c r="C84" s="16" t="s">
        <v>129</v>
      </c>
      <c r="D84" s="15">
        <v>1</v>
      </c>
      <c r="E84" s="15" t="s">
        <v>41</v>
      </c>
      <c r="F84" s="15" t="s">
        <v>28</v>
      </c>
      <c r="G84" s="15" t="s">
        <v>15</v>
      </c>
      <c r="H84" s="18"/>
      <c r="I84" s="18"/>
      <c r="J84" s="19"/>
      <c r="K84" s="20"/>
      <c r="L84" s="20"/>
      <c r="M84" s="20"/>
      <c r="N84" s="21"/>
      <c r="O84" s="21"/>
      <c r="P84" s="22"/>
      <c r="Q84" s="23"/>
      <c r="R84" s="24"/>
      <c r="S84" s="25"/>
      <c r="T84" s="24"/>
      <c r="U84" s="25"/>
      <c r="V84" s="24"/>
      <c r="W84" s="26"/>
      <c r="X84" s="27"/>
      <c r="Y84" s="26"/>
      <c r="Z84" s="27"/>
      <c r="AA84" s="26"/>
      <c r="AB84" s="27"/>
      <c r="AC84" s="28"/>
      <c r="AD84" s="29"/>
      <c r="AE84" s="28"/>
      <c r="AF84" s="29"/>
      <c r="AG84" s="29"/>
      <c r="AI84" s="30"/>
      <c r="AJ84" s="22"/>
      <c r="AK84" s="22"/>
      <c r="AL84" s="22"/>
      <c r="AM84" s="31"/>
      <c r="AN84" s="22"/>
      <c r="AO84" s="32"/>
      <c r="AX84" s="17"/>
      <c r="AY84" s="17"/>
      <c r="AZ84" s="17"/>
      <c r="BA84" s="17"/>
      <c r="BB84" s="17"/>
      <c r="BC84" s="17"/>
      <c r="BD84" s="17"/>
      <c r="BE84" s="17"/>
      <c r="BF84" s="17"/>
      <c r="BG84" s="17"/>
      <c r="BH84" s="17"/>
      <c r="BI84" s="17"/>
      <c r="BJ84" s="17"/>
    </row>
    <row r="85" spans="2:40" ht="12.75">
      <c r="B85" s="1">
        <v>35576</v>
      </c>
      <c r="C85" s="33" t="s">
        <v>93</v>
      </c>
      <c r="D85" s="1">
        <v>1</v>
      </c>
      <c r="E85" s="1" t="s">
        <v>41</v>
      </c>
      <c r="F85" s="1" t="s">
        <v>28</v>
      </c>
      <c r="G85" s="1" t="s">
        <v>15</v>
      </c>
      <c r="J85" s="34"/>
      <c r="K85" s="35"/>
      <c r="L85" s="35"/>
      <c r="M85" s="35"/>
      <c r="N85" s="36"/>
      <c r="O85" s="36"/>
      <c r="P85" s="22"/>
      <c r="R85" s="18"/>
      <c r="S85" s="47"/>
      <c r="T85" s="18"/>
      <c r="U85" s="23"/>
      <c r="W85" s="45"/>
      <c r="Y85" s="45"/>
      <c r="AA85" s="45"/>
      <c r="AC85" s="46"/>
      <c r="AD85" s="36"/>
      <c r="AE85" s="46"/>
      <c r="AF85" s="36"/>
      <c r="AG85" s="36"/>
      <c r="AI85" s="39"/>
      <c r="AJ85" s="22"/>
      <c r="AK85" s="22"/>
      <c r="AL85" s="22"/>
      <c r="AM85" s="31"/>
      <c r="AN85" s="22"/>
    </row>
    <row r="86" spans="2:40" ht="12.75">
      <c r="B86" s="1">
        <v>35601</v>
      </c>
      <c r="C86" s="53" t="s">
        <v>152</v>
      </c>
      <c r="D86" s="1">
        <v>1</v>
      </c>
      <c r="E86" s="1" t="s">
        <v>41</v>
      </c>
      <c r="F86" s="1" t="s">
        <v>28</v>
      </c>
      <c r="G86" s="1" t="s">
        <v>15</v>
      </c>
      <c r="J86" s="34"/>
      <c r="K86" s="35"/>
      <c r="L86" s="35"/>
      <c r="M86" s="35"/>
      <c r="N86" s="36"/>
      <c r="O86" s="36"/>
      <c r="P86" s="22"/>
      <c r="Q86" s="23"/>
      <c r="R86" s="42"/>
      <c r="S86" s="23"/>
      <c r="T86" s="42"/>
      <c r="U86" s="23"/>
      <c r="V86" s="42"/>
      <c r="W86" s="43"/>
      <c r="X86" s="44"/>
      <c r="Z86" s="44"/>
      <c r="AC86" s="46"/>
      <c r="AD86" s="36"/>
      <c r="AE86" s="46"/>
      <c r="AF86" s="36"/>
      <c r="AG86" s="36"/>
      <c r="AI86" s="30"/>
      <c r="AJ86" s="22"/>
      <c r="AK86" s="22"/>
      <c r="AL86" s="22"/>
      <c r="AM86" s="31"/>
      <c r="AN86" s="22"/>
    </row>
    <row r="87" spans="2:62" s="14" customFormat="1" ht="11.25">
      <c r="B87" s="15">
        <v>35424</v>
      </c>
      <c r="C87" s="16" t="s">
        <v>70</v>
      </c>
      <c r="D87" s="15">
        <v>2</v>
      </c>
      <c r="E87" s="15" t="s">
        <v>41</v>
      </c>
      <c r="F87" s="15" t="s">
        <v>28</v>
      </c>
      <c r="G87" s="15" t="s">
        <v>15</v>
      </c>
      <c r="H87" s="18"/>
      <c r="I87" s="18"/>
      <c r="J87" s="19"/>
      <c r="K87" s="20"/>
      <c r="L87" s="20"/>
      <c r="M87" s="20"/>
      <c r="N87" s="21"/>
      <c r="O87" s="21"/>
      <c r="P87" s="22"/>
      <c r="Q87" s="25"/>
      <c r="R87" s="24"/>
      <c r="S87" s="25"/>
      <c r="T87" s="24"/>
      <c r="U87" s="25"/>
      <c r="V87" s="24"/>
      <c r="W87" s="26"/>
      <c r="X87" s="27"/>
      <c r="Y87" s="26"/>
      <c r="Z87" s="27"/>
      <c r="AA87" s="26"/>
      <c r="AB87" s="27"/>
      <c r="AC87" s="28"/>
      <c r="AD87" s="29"/>
      <c r="AE87" s="28"/>
      <c r="AF87" s="29"/>
      <c r="AG87" s="29"/>
      <c r="AI87" s="30"/>
      <c r="AJ87" s="22"/>
      <c r="AK87" s="22"/>
      <c r="AL87" s="22"/>
      <c r="AM87" s="31"/>
      <c r="AN87" s="22"/>
      <c r="AO87" s="32"/>
      <c r="AX87" s="17"/>
      <c r="AY87" s="17"/>
      <c r="AZ87" s="17"/>
      <c r="BA87" s="17"/>
      <c r="BB87" s="17"/>
      <c r="BC87" s="17"/>
      <c r="BD87" s="17"/>
      <c r="BE87" s="17"/>
      <c r="BF87" s="17"/>
      <c r="BG87" s="17"/>
      <c r="BH87" s="17"/>
      <c r="BI87" s="17"/>
      <c r="BJ87" s="17"/>
    </row>
    <row r="88" spans="2:40" ht="12.75">
      <c r="B88" s="1">
        <v>35568</v>
      </c>
      <c r="C88" s="33" t="s">
        <v>147</v>
      </c>
      <c r="D88" s="1">
        <v>2</v>
      </c>
      <c r="E88" s="1" t="s">
        <v>41</v>
      </c>
      <c r="F88" s="15" t="s">
        <v>28</v>
      </c>
      <c r="G88" s="1" t="s">
        <v>15</v>
      </c>
      <c r="J88" s="34"/>
      <c r="K88" s="35"/>
      <c r="L88" s="35"/>
      <c r="M88" s="35"/>
      <c r="N88" s="36"/>
      <c r="O88" s="36"/>
      <c r="P88" s="22"/>
      <c r="Q88" s="23"/>
      <c r="R88" s="42"/>
      <c r="S88" s="23"/>
      <c r="T88" s="42"/>
      <c r="U88" s="23"/>
      <c r="V88" s="42"/>
      <c r="W88" s="45"/>
      <c r="X88" s="44"/>
      <c r="Y88" s="43"/>
      <c r="Z88" s="44"/>
      <c r="AA88" s="45"/>
      <c r="AC88" s="46"/>
      <c r="AD88" s="36"/>
      <c r="AE88" s="46"/>
      <c r="AF88" s="36"/>
      <c r="AG88" s="36"/>
      <c r="AI88" s="30"/>
      <c r="AJ88" s="22"/>
      <c r="AK88" s="22"/>
      <c r="AL88" s="22"/>
      <c r="AM88" s="31"/>
      <c r="AN88" s="22"/>
    </row>
    <row r="89" spans="2:62" s="14" customFormat="1" ht="11.25">
      <c r="B89" s="15">
        <v>35488</v>
      </c>
      <c r="C89" s="16" t="s">
        <v>44</v>
      </c>
      <c r="D89" s="15">
        <v>1</v>
      </c>
      <c r="E89" s="15" t="s">
        <v>8</v>
      </c>
      <c r="F89" s="15" t="s">
        <v>18</v>
      </c>
      <c r="G89" s="15" t="s">
        <v>15</v>
      </c>
      <c r="H89" s="18"/>
      <c r="I89" s="18"/>
      <c r="J89" s="19"/>
      <c r="K89" s="20"/>
      <c r="L89" s="20"/>
      <c r="M89" s="20"/>
      <c r="N89" s="21"/>
      <c r="O89" s="21"/>
      <c r="P89" s="22"/>
      <c r="Q89" s="25"/>
      <c r="R89" s="24"/>
      <c r="S89" s="25"/>
      <c r="T89" s="24"/>
      <c r="U89" s="25"/>
      <c r="V89" s="24"/>
      <c r="W89" s="26"/>
      <c r="X89" s="27"/>
      <c r="Y89" s="26"/>
      <c r="Z89" s="27"/>
      <c r="AA89" s="26"/>
      <c r="AB89" s="27"/>
      <c r="AC89" s="28"/>
      <c r="AD89" s="29"/>
      <c r="AE89" s="28"/>
      <c r="AF89" s="29"/>
      <c r="AG89" s="29"/>
      <c r="AI89" s="30"/>
      <c r="AJ89" s="22"/>
      <c r="AK89" s="22"/>
      <c r="AL89" s="22"/>
      <c r="AM89" s="31"/>
      <c r="AN89" s="22"/>
      <c r="AO89" s="32"/>
      <c r="AX89" s="17"/>
      <c r="AY89" s="17"/>
      <c r="AZ89" s="17"/>
      <c r="BA89" s="17"/>
      <c r="BB89" s="17"/>
      <c r="BC89" s="17"/>
      <c r="BD89" s="17"/>
      <c r="BE89" s="17"/>
      <c r="BF89" s="17"/>
      <c r="BG89" s="17"/>
      <c r="BH89" s="17"/>
      <c r="BI89" s="17"/>
      <c r="BJ89" s="17"/>
    </row>
    <row r="90" spans="2:62" s="14" customFormat="1" ht="11.25">
      <c r="B90" s="15">
        <v>35525</v>
      </c>
      <c r="C90" s="16" t="s">
        <v>165</v>
      </c>
      <c r="D90" s="15">
        <v>1</v>
      </c>
      <c r="E90" s="15" t="s">
        <v>8</v>
      </c>
      <c r="F90" s="15" t="s">
        <v>18</v>
      </c>
      <c r="G90" s="15" t="s">
        <v>15</v>
      </c>
      <c r="H90" s="18"/>
      <c r="I90" s="18"/>
      <c r="J90" s="19"/>
      <c r="K90" s="20"/>
      <c r="L90" s="20"/>
      <c r="M90" s="20"/>
      <c r="N90" s="21"/>
      <c r="O90" s="21"/>
      <c r="P90" s="22"/>
      <c r="Q90" s="23"/>
      <c r="R90" s="24"/>
      <c r="S90" s="25"/>
      <c r="T90" s="24"/>
      <c r="U90" s="26"/>
      <c r="V90" s="24"/>
      <c r="W90" s="26"/>
      <c r="X90" s="27"/>
      <c r="Y90" s="26"/>
      <c r="Z90" s="27"/>
      <c r="AA90" s="26"/>
      <c r="AB90" s="27"/>
      <c r="AC90" s="28"/>
      <c r="AD90" s="29"/>
      <c r="AE90" s="28"/>
      <c r="AF90" s="29"/>
      <c r="AG90" s="29"/>
      <c r="AI90" s="39"/>
      <c r="AJ90" s="22"/>
      <c r="AK90" s="22"/>
      <c r="AL90" s="22"/>
      <c r="AM90" s="31"/>
      <c r="AN90" s="22"/>
      <c r="AO90" s="32"/>
      <c r="AX90" s="17"/>
      <c r="AY90" s="17"/>
      <c r="AZ90" s="17"/>
      <c r="BA90" s="17"/>
      <c r="BB90" s="17"/>
      <c r="BC90" s="17"/>
      <c r="BD90" s="17"/>
      <c r="BE90" s="17"/>
      <c r="BF90" s="17"/>
      <c r="BG90" s="17"/>
      <c r="BH90" s="17"/>
      <c r="BI90" s="17"/>
      <c r="BJ90" s="17"/>
    </row>
    <row r="91" spans="2:62" s="14" customFormat="1" ht="11.25">
      <c r="B91" s="15">
        <v>35531</v>
      </c>
      <c r="C91" s="16" t="s">
        <v>160</v>
      </c>
      <c r="D91" s="15">
        <v>1</v>
      </c>
      <c r="E91" s="15" t="s">
        <v>8</v>
      </c>
      <c r="F91" s="15" t="s">
        <v>18</v>
      </c>
      <c r="G91" s="15" t="s">
        <v>15</v>
      </c>
      <c r="H91" s="18"/>
      <c r="I91" s="18"/>
      <c r="J91" s="19"/>
      <c r="K91" s="20"/>
      <c r="L91" s="20"/>
      <c r="M91" s="20"/>
      <c r="N91" s="21"/>
      <c r="O91" s="21"/>
      <c r="P91" s="22"/>
      <c r="Q91" s="23"/>
      <c r="R91" s="24"/>
      <c r="S91" s="25"/>
      <c r="T91" s="24"/>
      <c r="U91" s="25"/>
      <c r="V91" s="24"/>
      <c r="W91" s="26"/>
      <c r="X91" s="27"/>
      <c r="Y91" s="26"/>
      <c r="Z91" s="27"/>
      <c r="AA91" s="26"/>
      <c r="AB91" s="27"/>
      <c r="AC91" s="28"/>
      <c r="AD91" s="29"/>
      <c r="AE91" s="28"/>
      <c r="AF91" s="29"/>
      <c r="AG91" s="29"/>
      <c r="AI91" s="39"/>
      <c r="AJ91" s="22"/>
      <c r="AK91" s="22"/>
      <c r="AL91" s="22"/>
      <c r="AM91" s="31"/>
      <c r="AN91" s="22"/>
      <c r="AO91" s="32"/>
      <c r="AX91" s="17"/>
      <c r="AY91" s="17"/>
      <c r="AZ91" s="17"/>
      <c r="BA91" s="17"/>
      <c r="BB91" s="17"/>
      <c r="BC91" s="17"/>
      <c r="BD91" s="17"/>
      <c r="BE91" s="17"/>
      <c r="BF91" s="17"/>
      <c r="BG91" s="17"/>
      <c r="BH91" s="17"/>
      <c r="BI91" s="17"/>
      <c r="BJ91" s="17"/>
    </row>
    <row r="92" spans="2:62" s="14" customFormat="1" ht="11.25">
      <c r="B92" s="15">
        <v>35541</v>
      </c>
      <c r="C92" s="16" t="s">
        <v>63</v>
      </c>
      <c r="D92" s="15">
        <v>1</v>
      </c>
      <c r="E92" s="15" t="s">
        <v>8</v>
      </c>
      <c r="F92" s="15" t="s">
        <v>18</v>
      </c>
      <c r="G92" s="15" t="s">
        <v>15</v>
      </c>
      <c r="H92" s="18"/>
      <c r="I92" s="18"/>
      <c r="J92" s="19"/>
      <c r="K92" s="20"/>
      <c r="L92" s="20"/>
      <c r="M92" s="20"/>
      <c r="N92" s="21"/>
      <c r="O92" s="21"/>
      <c r="P92" s="22"/>
      <c r="Q92" s="23"/>
      <c r="R92" s="24"/>
      <c r="S92" s="25"/>
      <c r="T92" s="24"/>
      <c r="U92" s="25"/>
      <c r="V92" s="24"/>
      <c r="W92" s="26"/>
      <c r="X92" s="27"/>
      <c r="Y92" s="26"/>
      <c r="Z92" s="27"/>
      <c r="AA92" s="26"/>
      <c r="AB92" s="27"/>
      <c r="AC92" s="28"/>
      <c r="AD92" s="29"/>
      <c r="AE92" s="28"/>
      <c r="AF92" s="29"/>
      <c r="AG92" s="29"/>
      <c r="AI92" s="30"/>
      <c r="AJ92" s="22"/>
      <c r="AK92" s="22"/>
      <c r="AL92" s="22"/>
      <c r="AM92" s="31"/>
      <c r="AN92" s="22"/>
      <c r="AO92" s="32"/>
      <c r="AX92" s="17"/>
      <c r="AY92" s="17"/>
      <c r="AZ92" s="17"/>
      <c r="BA92" s="17"/>
      <c r="BB92" s="17"/>
      <c r="BC92" s="17"/>
      <c r="BD92" s="17"/>
      <c r="BE92" s="17"/>
      <c r="BF92" s="17"/>
      <c r="BG92" s="17"/>
      <c r="BH92" s="17"/>
      <c r="BI92" s="17"/>
      <c r="BJ92" s="17"/>
    </row>
    <row r="93" spans="2:62" s="14" customFormat="1" ht="11.25">
      <c r="B93" s="15">
        <v>35337</v>
      </c>
      <c r="C93" s="16" t="s">
        <v>65</v>
      </c>
      <c r="D93" s="15">
        <v>2</v>
      </c>
      <c r="E93" s="15" t="s">
        <v>41</v>
      </c>
      <c r="F93" s="15" t="s">
        <v>18</v>
      </c>
      <c r="G93" s="15" t="s">
        <v>15</v>
      </c>
      <c r="H93" s="18"/>
      <c r="I93" s="18"/>
      <c r="J93" s="19"/>
      <c r="K93" s="20"/>
      <c r="L93" s="20"/>
      <c r="M93" s="20"/>
      <c r="N93" s="21"/>
      <c r="O93" s="21"/>
      <c r="P93" s="22"/>
      <c r="Q93" s="23"/>
      <c r="R93" s="24"/>
      <c r="S93" s="25"/>
      <c r="T93" s="24"/>
      <c r="U93" s="25"/>
      <c r="V93" s="24"/>
      <c r="W93" s="26"/>
      <c r="X93" s="27"/>
      <c r="Y93" s="26"/>
      <c r="Z93" s="27"/>
      <c r="AA93" s="26"/>
      <c r="AB93" s="27"/>
      <c r="AC93" s="28"/>
      <c r="AD93" s="29"/>
      <c r="AE93" s="28"/>
      <c r="AF93" s="29"/>
      <c r="AG93" s="29"/>
      <c r="AI93" s="30"/>
      <c r="AJ93" s="22"/>
      <c r="AK93" s="22"/>
      <c r="AL93" s="22"/>
      <c r="AM93" s="31"/>
      <c r="AN93" s="22"/>
      <c r="AO93" s="32"/>
      <c r="AX93" s="17"/>
      <c r="AY93" s="17"/>
      <c r="AZ93" s="17"/>
      <c r="BA93" s="17"/>
      <c r="BB93" s="17"/>
      <c r="BC93" s="17"/>
      <c r="BD93" s="17"/>
      <c r="BE93" s="17"/>
      <c r="BF93" s="17"/>
      <c r="BG93" s="17"/>
      <c r="BH93" s="17"/>
      <c r="BI93" s="17"/>
      <c r="BJ93" s="17"/>
    </row>
    <row r="94" spans="2:62" s="14" customFormat="1" ht="11.25">
      <c r="B94" s="15">
        <v>35345</v>
      </c>
      <c r="C94" s="16" t="s">
        <v>77</v>
      </c>
      <c r="D94" s="15">
        <v>1</v>
      </c>
      <c r="E94" s="15" t="s">
        <v>41</v>
      </c>
      <c r="F94" s="15" t="s">
        <v>9</v>
      </c>
      <c r="G94" s="15" t="s">
        <v>15</v>
      </c>
      <c r="H94" s="18"/>
      <c r="I94" s="18"/>
      <c r="J94" s="19"/>
      <c r="K94" s="20"/>
      <c r="L94" s="20"/>
      <c r="M94" s="20"/>
      <c r="N94" s="21"/>
      <c r="O94" s="21"/>
      <c r="P94" s="22"/>
      <c r="Q94" s="23"/>
      <c r="R94" s="24"/>
      <c r="S94" s="25"/>
      <c r="T94" s="24"/>
      <c r="U94" s="25"/>
      <c r="V94" s="24"/>
      <c r="W94" s="26"/>
      <c r="X94" s="27"/>
      <c r="Y94" s="26"/>
      <c r="Z94" s="27"/>
      <c r="AA94" s="26"/>
      <c r="AB94" s="27"/>
      <c r="AC94" s="28"/>
      <c r="AD94" s="29"/>
      <c r="AE94" s="28"/>
      <c r="AF94" s="29"/>
      <c r="AG94" s="29"/>
      <c r="AI94" s="30"/>
      <c r="AJ94" s="22"/>
      <c r="AK94" s="22"/>
      <c r="AL94" s="22"/>
      <c r="AM94" s="31"/>
      <c r="AN94" s="22"/>
      <c r="AO94" s="32"/>
      <c r="AX94" s="17"/>
      <c r="AY94" s="17"/>
      <c r="AZ94" s="17"/>
      <c r="BA94" s="17"/>
      <c r="BB94" s="17"/>
      <c r="BC94" s="17"/>
      <c r="BD94" s="17"/>
      <c r="BE94" s="17"/>
      <c r="BF94" s="17"/>
      <c r="BG94" s="17"/>
      <c r="BH94" s="17"/>
      <c r="BI94" s="17"/>
      <c r="BJ94" s="17"/>
    </row>
    <row r="95" spans="2:62" s="14" customFormat="1" ht="11.25">
      <c r="B95" s="15">
        <v>35363</v>
      </c>
      <c r="C95" s="16" t="s">
        <v>40</v>
      </c>
      <c r="D95" s="15">
        <v>1</v>
      </c>
      <c r="E95" s="15" t="s">
        <v>41</v>
      </c>
      <c r="F95" s="15" t="s">
        <v>9</v>
      </c>
      <c r="G95" s="15" t="s">
        <v>15</v>
      </c>
      <c r="H95" s="18"/>
      <c r="I95" s="18"/>
      <c r="J95" s="19"/>
      <c r="K95" s="20"/>
      <c r="L95" s="20"/>
      <c r="M95" s="20"/>
      <c r="N95" s="21"/>
      <c r="O95" s="21"/>
      <c r="P95" s="22"/>
      <c r="Q95" s="23"/>
      <c r="R95" s="24"/>
      <c r="S95" s="25"/>
      <c r="T95" s="24"/>
      <c r="U95" s="25"/>
      <c r="V95" s="24"/>
      <c r="W95" s="26"/>
      <c r="X95" s="27"/>
      <c r="Y95" s="26"/>
      <c r="Z95" s="27"/>
      <c r="AA95" s="26"/>
      <c r="AB95" s="27"/>
      <c r="AC95" s="28"/>
      <c r="AD95" s="29"/>
      <c r="AE95" s="28"/>
      <c r="AF95" s="29"/>
      <c r="AG95" s="29"/>
      <c r="AI95" s="30"/>
      <c r="AJ95" s="22"/>
      <c r="AK95" s="22"/>
      <c r="AL95" s="22"/>
      <c r="AM95" s="31"/>
      <c r="AN95" s="22"/>
      <c r="AO95" s="32"/>
      <c r="AX95" s="17"/>
      <c r="AY95" s="17"/>
      <c r="AZ95" s="17"/>
      <c r="BA95" s="17"/>
      <c r="BB95" s="17"/>
      <c r="BC95" s="17"/>
      <c r="BD95" s="17"/>
      <c r="BE95" s="17"/>
      <c r="BF95" s="17"/>
      <c r="BG95" s="17"/>
      <c r="BH95" s="17"/>
      <c r="BI95" s="17"/>
      <c r="BJ95" s="17"/>
    </row>
    <row r="96" spans="2:62" s="14" customFormat="1" ht="11.25">
      <c r="B96" s="15">
        <v>35310</v>
      </c>
      <c r="C96" s="16" t="s">
        <v>32</v>
      </c>
      <c r="D96" s="15">
        <v>1</v>
      </c>
      <c r="E96" s="15" t="s">
        <v>8</v>
      </c>
      <c r="F96" s="15" t="s">
        <v>9</v>
      </c>
      <c r="G96" s="15" t="s">
        <v>15</v>
      </c>
      <c r="H96" s="18"/>
      <c r="I96" s="18"/>
      <c r="J96" s="19"/>
      <c r="K96" s="20"/>
      <c r="L96" s="20"/>
      <c r="M96" s="20"/>
      <c r="N96" s="21"/>
      <c r="O96" s="21"/>
      <c r="P96" s="22"/>
      <c r="Q96" s="23"/>
      <c r="R96" s="24"/>
      <c r="S96" s="25"/>
      <c r="T96" s="24"/>
      <c r="U96" s="25"/>
      <c r="V96" s="24"/>
      <c r="W96" s="26"/>
      <c r="X96" s="27"/>
      <c r="Y96" s="26"/>
      <c r="Z96" s="27"/>
      <c r="AA96" s="26"/>
      <c r="AB96" s="27"/>
      <c r="AC96" s="28"/>
      <c r="AD96" s="29"/>
      <c r="AE96" s="28"/>
      <c r="AF96" s="29"/>
      <c r="AG96" s="29"/>
      <c r="AI96" s="30"/>
      <c r="AJ96" s="22"/>
      <c r="AK96" s="22"/>
      <c r="AL96" s="22"/>
      <c r="AM96" s="31"/>
      <c r="AN96" s="22"/>
      <c r="AO96" s="32"/>
      <c r="AX96" s="17"/>
      <c r="AY96" s="17"/>
      <c r="AZ96" s="17"/>
      <c r="BA96" s="17"/>
      <c r="BB96" s="17"/>
      <c r="BC96" s="17"/>
      <c r="BD96" s="17"/>
      <c r="BE96" s="17"/>
      <c r="BF96" s="17"/>
      <c r="BG96" s="17"/>
      <c r="BH96" s="17"/>
      <c r="BI96" s="17"/>
      <c r="BJ96" s="17"/>
    </row>
    <row r="97" spans="2:62" s="14" customFormat="1" ht="11.25">
      <c r="B97" s="15">
        <v>35364</v>
      </c>
      <c r="C97" s="16" t="s">
        <v>117</v>
      </c>
      <c r="D97" s="15">
        <v>2</v>
      </c>
      <c r="E97" s="15" t="s">
        <v>8</v>
      </c>
      <c r="F97" s="15" t="s">
        <v>18</v>
      </c>
      <c r="G97" s="15" t="s">
        <v>15</v>
      </c>
      <c r="H97" s="18"/>
      <c r="I97" s="18"/>
      <c r="J97" s="19"/>
      <c r="K97" s="20"/>
      <c r="L97" s="20"/>
      <c r="M97" s="20"/>
      <c r="N97" s="21"/>
      <c r="O97" s="21"/>
      <c r="P97" s="22"/>
      <c r="Q97" s="23"/>
      <c r="R97" s="24"/>
      <c r="S97" s="25"/>
      <c r="T97" s="24"/>
      <c r="U97" s="25"/>
      <c r="V97" s="24"/>
      <c r="W97" s="26"/>
      <c r="X97" s="27"/>
      <c r="Y97" s="26"/>
      <c r="Z97" s="27"/>
      <c r="AA97" s="26"/>
      <c r="AB97" s="27"/>
      <c r="AC97" s="28"/>
      <c r="AD97" s="29"/>
      <c r="AE97" s="28"/>
      <c r="AF97" s="29"/>
      <c r="AG97" s="29"/>
      <c r="AI97" s="39"/>
      <c r="AJ97" s="22"/>
      <c r="AK97" s="22"/>
      <c r="AL97" s="22"/>
      <c r="AM97" s="31"/>
      <c r="AN97" s="22"/>
      <c r="AO97" s="32"/>
      <c r="AX97" s="17"/>
      <c r="AY97" s="17"/>
      <c r="AZ97" s="17"/>
      <c r="BA97" s="17"/>
      <c r="BB97" s="17"/>
      <c r="BC97" s="17"/>
      <c r="BD97" s="17"/>
      <c r="BE97" s="17"/>
      <c r="BF97" s="17"/>
      <c r="BG97" s="17"/>
      <c r="BH97" s="17"/>
      <c r="BI97" s="17"/>
      <c r="BJ97" s="17"/>
    </row>
    <row r="98" spans="2:62" s="14" customFormat="1" ht="11.25">
      <c r="B98" s="15">
        <v>35407</v>
      </c>
      <c r="C98" s="16" t="s">
        <v>67</v>
      </c>
      <c r="D98" s="15">
        <v>1</v>
      </c>
      <c r="E98" s="15" t="s">
        <v>8</v>
      </c>
      <c r="F98" s="15" t="s">
        <v>9</v>
      </c>
      <c r="G98" s="15" t="s">
        <v>15</v>
      </c>
      <c r="H98" s="18"/>
      <c r="I98" s="18"/>
      <c r="J98" s="19"/>
      <c r="K98" s="20"/>
      <c r="L98" s="20"/>
      <c r="M98" s="20"/>
      <c r="N98" s="21"/>
      <c r="O98" s="21"/>
      <c r="P98" s="22"/>
      <c r="Q98" s="23"/>
      <c r="R98" s="24"/>
      <c r="S98" s="25"/>
      <c r="T98" s="24"/>
      <c r="U98" s="25"/>
      <c r="V98" s="24"/>
      <c r="W98" s="26"/>
      <c r="X98" s="27"/>
      <c r="Y98" s="43"/>
      <c r="Z98" s="44"/>
      <c r="AA98" s="26"/>
      <c r="AB98" s="27"/>
      <c r="AC98" s="28"/>
      <c r="AD98" s="29"/>
      <c r="AE98" s="28"/>
      <c r="AF98" s="29"/>
      <c r="AG98" s="29"/>
      <c r="AI98" s="30"/>
      <c r="AJ98" s="22"/>
      <c r="AK98" s="22"/>
      <c r="AL98" s="22"/>
      <c r="AM98" s="31"/>
      <c r="AN98" s="22"/>
      <c r="AO98" s="32"/>
      <c r="AX98" s="17"/>
      <c r="AY98" s="17"/>
      <c r="AZ98" s="17"/>
      <c r="BA98" s="17"/>
      <c r="BB98" s="17"/>
      <c r="BC98" s="17"/>
      <c r="BD98" s="17"/>
      <c r="BE98" s="17"/>
      <c r="BF98" s="17"/>
      <c r="BG98" s="17"/>
      <c r="BH98" s="17"/>
      <c r="BI98" s="17"/>
      <c r="BJ98" s="17"/>
    </row>
    <row r="99" spans="2:62" s="14" customFormat="1" ht="11.25">
      <c r="B99" s="15">
        <v>35451</v>
      </c>
      <c r="C99" s="16" t="s">
        <v>109</v>
      </c>
      <c r="D99" s="15">
        <v>1</v>
      </c>
      <c r="E99" s="15" t="s">
        <v>8</v>
      </c>
      <c r="F99" s="15" t="s">
        <v>9</v>
      </c>
      <c r="G99" s="15" t="s">
        <v>15</v>
      </c>
      <c r="H99" s="18"/>
      <c r="I99" s="18"/>
      <c r="J99" s="19"/>
      <c r="K99" s="20"/>
      <c r="L99" s="20"/>
      <c r="M99" s="20"/>
      <c r="N99" s="21"/>
      <c r="O99" s="21"/>
      <c r="P99" s="22"/>
      <c r="Q99" s="23"/>
      <c r="R99" s="24"/>
      <c r="S99" s="25"/>
      <c r="T99" s="24"/>
      <c r="U99" s="25"/>
      <c r="V99" s="24"/>
      <c r="W99" s="26"/>
      <c r="X99" s="27"/>
      <c r="Y99" s="26"/>
      <c r="Z99" s="27"/>
      <c r="AA99" s="26"/>
      <c r="AB99" s="27"/>
      <c r="AC99" s="28"/>
      <c r="AD99" s="29"/>
      <c r="AE99" s="28"/>
      <c r="AF99" s="29"/>
      <c r="AG99" s="29"/>
      <c r="AI99" s="30"/>
      <c r="AJ99" s="22"/>
      <c r="AK99" s="22"/>
      <c r="AL99" s="22"/>
      <c r="AM99" s="31"/>
      <c r="AN99" s="22"/>
      <c r="AO99" s="32"/>
      <c r="AX99" s="17"/>
      <c r="AY99" s="17"/>
      <c r="AZ99" s="17"/>
      <c r="BA99" s="17"/>
      <c r="BB99" s="17"/>
      <c r="BC99" s="17"/>
      <c r="BD99" s="17"/>
      <c r="BE99" s="17"/>
      <c r="BF99" s="17"/>
      <c r="BG99" s="17"/>
      <c r="BH99" s="17"/>
      <c r="BI99" s="17"/>
      <c r="BJ99" s="17"/>
    </row>
    <row r="100" spans="2:62" s="14" customFormat="1" ht="11.25">
      <c r="B100" s="15">
        <v>35472</v>
      </c>
      <c r="C100" s="16" t="s">
        <v>56</v>
      </c>
      <c r="D100" s="15">
        <v>2</v>
      </c>
      <c r="E100" s="15" t="s">
        <v>8</v>
      </c>
      <c r="F100" s="15" t="s">
        <v>18</v>
      </c>
      <c r="G100" s="15" t="s">
        <v>15</v>
      </c>
      <c r="H100" s="18"/>
      <c r="I100" s="18"/>
      <c r="J100" s="19"/>
      <c r="K100" s="20"/>
      <c r="L100" s="20"/>
      <c r="M100" s="20"/>
      <c r="N100" s="21"/>
      <c r="O100" s="21"/>
      <c r="P100" s="22"/>
      <c r="Q100" s="23"/>
      <c r="R100" s="24"/>
      <c r="S100" s="25"/>
      <c r="T100" s="24"/>
      <c r="U100" s="25"/>
      <c r="V100" s="24"/>
      <c r="W100" s="26"/>
      <c r="X100" s="27"/>
      <c r="Y100" s="26"/>
      <c r="Z100" s="27"/>
      <c r="AA100" s="26"/>
      <c r="AB100" s="27"/>
      <c r="AC100" s="28"/>
      <c r="AD100" s="29"/>
      <c r="AE100" s="28"/>
      <c r="AF100" s="29"/>
      <c r="AG100" s="29"/>
      <c r="AI100" s="30"/>
      <c r="AJ100" s="22"/>
      <c r="AK100" s="22"/>
      <c r="AL100" s="22"/>
      <c r="AM100" s="31"/>
      <c r="AN100" s="22"/>
      <c r="AO100" s="32"/>
      <c r="AX100" s="17"/>
      <c r="AY100" s="17"/>
      <c r="AZ100" s="17"/>
      <c r="BA100" s="17"/>
      <c r="BB100" s="17"/>
      <c r="BC100" s="17"/>
      <c r="BD100" s="17"/>
      <c r="BE100" s="17"/>
      <c r="BF100" s="17"/>
      <c r="BG100" s="17"/>
      <c r="BH100" s="17"/>
      <c r="BI100" s="17"/>
      <c r="BJ100" s="17"/>
    </row>
    <row r="101" spans="2:40" ht="12.75">
      <c r="B101" s="1">
        <v>35549</v>
      </c>
      <c r="C101" s="33" t="s">
        <v>139</v>
      </c>
      <c r="E101" s="15" t="s">
        <v>8</v>
      </c>
      <c r="F101" s="1" t="s">
        <v>140</v>
      </c>
      <c r="G101" s="1" t="s">
        <v>15</v>
      </c>
      <c r="J101" s="34"/>
      <c r="K101" s="35"/>
      <c r="L101" s="35"/>
      <c r="M101" s="35"/>
      <c r="N101" s="36"/>
      <c r="O101" s="36"/>
      <c r="P101" s="22"/>
      <c r="R101" s="18"/>
      <c r="S101" s="47"/>
      <c r="T101" s="18"/>
      <c r="U101" s="23"/>
      <c r="W101" s="45"/>
      <c r="Y101" s="45"/>
      <c r="AA101" s="45"/>
      <c r="AC101" s="46"/>
      <c r="AD101" s="36"/>
      <c r="AE101" s="46"/>
      <c r="AF101" s="36"/>
      <c r="AG101" s="36"/>
      <c r="AI101" s="39"/>
      <c r="AJ101" s="22"/>
      <c r="AK101" s="22"/>
      <c r="AL101" s="22"/>
      <c r="AM101" s="31"/>
      <c r="AN101" s="22"/>
    </row>
    <row r="102" spans="2:40" ht="12.75">
      <c r="B102" s="1">
        <v>35234</v>
      </c>
      <c r="C102" s="33" t="s">
        <v>133</v>
      </c>
      <c r="D102" s="1">
        <v>3</v>
      </c>
      <c r="E102" s="15" t="s">
        <v>41</v>
      </c>
      <c r="F102" s="1" t="s">
        <v>9</v>
      </c>
      <c r="G102" s="1" t="s">
        <v>15</v>
      </c>
      <c r="J102" s="34"/>
      <c r="K102" s="35"/>
      <c r="L102" s="35"/>
      <c r="M102" s="35"/>
      <c r="N102" s="36"/>
      <c r="O102" s="36"/>
      <c r="P102" s="22"/>
      <c r="R102" s="18"/>
      <c r="S102" s="47"/>
      <c r="T102" s="18"/>
      <c r="U102" s="23"/>
      <c r="W102" s="45"/>
      <c r="Y102" s="45"/>
      <c r="AA102" s="45"/>
      <c r="AC102" s="46"/>
      <c r="AD102" s="36"/>
      <c r="AE102" s="46"/>
      <c r="AF102" s="36"/>
      <c r="AG102" s="36"/>
      <c r="AI102" s="39"/>
      <c r="AJ102" s="22"/>
      <c r="AK102" s="22"/>
      <c r="AL102" s="22"/>
      <c r="AM102" s="31"/>
      <c r="AN102" s="22"/>
    </row>
    <row r="103" spans="2:62" s="14" customFormat="1" ht="11.25">
      <c r="B103" s="15">
        <v>35275</v>
      </c>
      <c r="C103" s="16" t="s">
        <v>92</v>
      </c>
      <c r="D103" s="15">
        <v>3</v>
      </c>
      <c r="E103" s="15" t="s">
        <v>41</v>
      </c>
      <c r="F103" s="15" t="s">
        <v>9</v>
      </c>
      <c r="G103" s="15" t="s">
        <v>15</v>
      </c>
      <c r="H103" s="18"/>
      <c r="I103" s="18"/>
      <c r="J103" s="19"/>
      <c r="K103" s="20"/>
      <c r="L103" s="20"/>
      <c r="M103" s="20"/>
      <c r="N103" s="21"/>
      <c r="O103" s="21"/>
      <c r="P103" s="22"/>
      <c r="Q103" s="23"/>
      <c r="R103" s="24"/>
      <c r="S103" s="25"/>
      <c r="T103" s="24"/>
      <c r="U103" s="25"/>
      <c r="V103" s="24"/>
      <c r="W103" s="26"/>
      <c r="X103" s="27"/>
      <c r="Y103" s="26"/>
      <c r="Z103" s="27"/>
      <c r="AA103" s="26"/>
      <c r="AB103" s="27"/>
      <c r="AC103" s="28"/>
      <c r="AD103" s="29"/>
      <c r="AE103" s="28"/>
      <c r="AF103" s="29"/>
      <c r="AG103" s="29"/>
      <c r="AI103" s="39"/>
      <c r="AJ103" s="22"/>
      <c r="AK103" s="22"/>
      <c r="AL103" s="22"/>
      <c r="AM103" s="31"/>
      <c r="AN103" s="22"/>
      <c r="AO103" s="32"/>
      <c r="AX103" s="17"/>
      <c r="AY103" s="17"/>
      <c r="AZ103" s="17"/>
      <c r="BA103" s="17"/>
      <c r="BB103" s="17"/>
      <c r="BC103" s="17"/>
      <c r="BD103" s="17"/>
      <c r="BE103" s="17"/>
      <c r="BF103" s="17"/>
      <c r="BG103" s="17"/>
      <c r="BH103" s="17"/>
      <c r="BI103" s="17"/>
      <c r="BJ103" s="17"/>
    </row>
    <row r="104" spans="2:62" s="14" customFormat="1" ht="11.25">
      <c r="B104" s="15">
        <v>35327</v>
      </c>
      <c r="C104" s="16" t="s">
        <v>80</v>
      </c>
      <c r="D104" s="15">
        <v>2</v>
      </c>
      <c r="E104" s="15" t="s">
        <v>41</v>
      </c>
      <c r="F104" s="15" t="s">
        <v>9</v>
      </c>
      <c r="G104" s="15" t="s">
        <v>15</v>
      </c>
      <c r="H104" s="18"/>
      <c r="I104" s="18"/>
      <c r="J104" s="19"/>
      <c r="K104" s="20"/>
      <c r="L104" s="20"/>
      <c r="M104" s="20"/>
      <c r="N104" s="21"/>
      <c r="O104" s="21"/>
      <c r="P104" s="22"/>
      <c r="Q104" s="23"/>
      <c r="R104" s="24"/>
      <c r="S104" s="25"/>
      <c r="T104" s="24"/>
      <c r="U104" s="25"/>
      <c r="V104" s="24"/>
      <c r="W104" s="26"/>
      <c r="X104" s="27"/>
      <c r="Y104" s="26"/>
      <c r="Z104" s="27"/>
      <c r="AA104" s="26"/>
      <c r="AB104" s="27"/>
      <c r="AC104" s="28"/>
      <c r="AD104" s="29"/>
      <c r="AE104" s="28"/>
      <c r="AF104" s="29"/>
      <c r="AG104" s="29"/>
      <c r="AI104" s="39"/>
      <c r="AJ104" s="22"/>
      <c r="AK104" s="22"/>
      <c r="AL104" s="22"/>
      <c r="AM104" s="31"/>
      <c r="AN104" s="22"/>
      <c r="AO104" s="32"/>
      <c r="AX104" s="17"/>
      <c r="AY104" s="17"/>
      <c r="AZ104" s="17"/>
      <c r="BA104" s="17"/>
      <c r="BB104" s="17"/>
      <c r="BC104" s="17"/>
      <c r="BD104" s="17"/>
      <c r="BE104" s="17"/>
      <c r="BF104" s="17"/>
      <c r="BG104" s="17"/>
      <c r="BH104" s="17"/>
      <c r="BI104" s="17"/>
      <c r="BJ104" s="17"/>
    </row>
    <row r="105" spans="2:62" s="14" customFormat="1" ht="11.25">
      <c r="B105" s="15">
        <v>35382</v>
      </c>
      <c r="C105" s="16" t="s">
        <v>61</v>
      </c>
      <c r="D105" s="15">
        <v>3</v>
      </c>
      <c r="E105" s="15" t="s">
        <v>41</v>
      </c>
      <c r="F105" s="15" t="s">
        <v>9</v>
      </c>
      <c r="G105" s="15" t="s">
        <v>15</v>
      </c>
      <c r="H105" s="18"/>
      <c r="I105" s="18"/>
      <c r="J105" s="19"/>
      <c r="K105" s="20"/>
      <c r="L105" s="20"/>
      <c r="M105" s="20"/>
      <c r="N105" s="21"/>
      <c r="O105" s="21"/>
      <c r="P105" s="22"/>
      <c r="Q105" s="23"/>
      <c r="R105" s="24"/>
      <c r="S105" s="25"/>
      <c r="T105" s="24"/>
      <c r="U105" s="25"/>
      <c r="V105" s="24"/>
      <c r="W105" s="26"/>
      <c r="X105" s="27"/>
      <c r="Y105" s="26"/>
      <c r="Z105" s="27"/>
      <c r="AA105" s="26"/>
      <c r="AB105" s="27"/>
      <c r="AC105" s="28"/>
      <c r="AD105" s="29"/>
      <c r="AE105" s="28"/>
      <c r="AF105" s="29"/>
      <c r="AG105" s="29"/>
      <c r="AI105" s="39"/>
      <c r="AJ105" s="22"/>
      <c r="AK105" s="22"/>
      <c r="AL105" s="22"/>
      <c r="AM105" s="31"/>
      <c r="AN105" s="22"/>
      <c r="AO105" s="32"/>
      <c r="AX105" s="17"/>
      <c r="AY105" s="17"/>
      <c r="AZ105" s="17"/>
      <c r="BA105" s="17"/>
      <c r="BB105" s="17"/>
      <c r="BC105" s="17"/>
      <c r="BD105" s="17"/>
      <c r="BE105" s="17"/>
      <c r="BF105" s="17"/>
      <c r="BG105" s="17"/>
      <c r="BH105" s="17"/>
      <c r="BI105" s="17"/>
      <c r="BJ105" s="17"/>
    </row>
    <row r="106" spans="2:62" s="14" customFormat="1" ht="11.25">
      <c r="B106" s="32">
        <v>35553</v>
      </c>
      <c r="C106" s="16" t="s">
        <v>102</v>
      </c>
      <c r="D106" s="32">
        <v>4</v>
      </c>
      <c r="E106" s="32" t="s">
        <v>41</v>
      </c>
      <c r="F106" s="32" t="s">
        <v>9</v>
      </c>
      <c r="G106" s="32" t="s">
        <v>15</v>
      </c>
      <c r="H106" s="18"/>
      <c r="I106" s="18"/>
      <c r="J106" s="19"/>
      <c r="K106" s="20"/>
      <c r="L106" s="20"/>
      <c r="M106" s="20"/>
      <c r="N106" s="21"/>
      <c r="O106" s="21"/>
      <c r="P106" s="22"/>
      <c r="Q106" s="23"/>
      <c r="R106" s="56"/>
      <c r="S106" s="57"/>
      <c r="T106" s="56"/>
      <c r="U106" s="57"/>
      <c r="V106" s="56"/>
      <c r="W106" s="58"/>
      <c r="X106" s="59"/>
      <c r="Y106" s="58"/>
      <c r="Z106" s="59"/>
      <c r="AA106" s="58"/>
      <c r="AB106" s="59"/>
      <c r="AC106" s="60"/>
      <c r="AD106" s="61"/>
      <c r="AE106" s="60"/>
      <c r="AF106" s="61"/>
      <c r="AG106" s="61"/>
      <c r="AI106" s="39"/>
      <c r="AJ106" s="22"/>
      <c r="AK106" s="22"/>
      <c r="AL106" s="22"/>
      <c r="AM106" s="31"/>
      <c r="AN106" s="22"/>
      <c r="AO106" s="32"/>
      <c r="AX106" s="55"/>
      <c r="AY106" s="55"/>
      <c r="AZ106" s="55"/>
      <c r="BA106" s="55"/>
      <c r="BB106" s="55"/>
      <c r="BC106" s="55"/>
      <c r="BD106" s="55"/>
      <c r="BE106" s="55"/>
      <c r="BF106" s="55"/>
      <c r="BG106" s="55"/>
      <c r="BH106" s="55"/>
      <c r="BI106" s="55"/>
      <c r="BJ106" s="55"/>
    </row>
    <row r="107" spans="2:40" ht="12.75">
      <c r="B107" s="1">
        <v>35241</v>
      </c>
      <c r="C107" s="33" t="s">
        <v>119</v>
      </c>
      <c r="E107" s="15" t="s">
        <v>8</v>
      </c>
      <c r="F107" s="1" t="s">
        <v>120</v>
      </c>
      <c r="G107" s="1" t="s">
        <v>15</v>
      </c>
      <c r="J107" s="34"/>
      <c r="K107" s="35"/>
      <c r="L107" s="35"/>
      <c r="M107" s="35"/>
      <c r="N107" s="36"/>
      <c r="O107" s="36"/>
      <c r="P107" s="22"/>
      <c r="R107" s="18"/>
      <c r="S107" s="47"/>
      <c r="T107" s="18"/>
      <c r="U107" s="23"/>
      <c r="W107" s="45"/>
      <c r="Y107" s="45"/>
      <c r="AA107" s="45"/>
      <c r="AC107" s="46"/>
      <c r="AD107" s="36"/>
      <c r="AE107" s="46"/>
      <c r="AF107" s="36"/>
      <c r="AG107" s="36"/>
      <c r="AI107" s="39"/>
      <c r="AJ107" s="22"/>
      <c r="AK107" s="22"/>
      <c r="AL107" s="22"/>
      <c r="AM107" s="31"/>
      <c r="AN107" s="22"/>
    </row>
    <row r="108" spans="2:62" s="14" customFormat="1" ht="11.25">
      <c r="B108" s="15">
        <v>35255</v>
      </c>
      <c r="C108" s="16" t="s">
        <v>69</v>
      </c>
      <c r="D108" s="15">
        <v>3</v>
      </c>
      <c r="E108" s="15" t="s">
        <v>8</v>
      </c>
      <c r="F108" s="15" t="s">
        <v>9</v>
      </c>
      <c r="G108" s="15" t="s">
        <v>15</v>
      </c>
      <c r="H108" s="18"/>
      <c r="I108" s="18"/>
      <c r="J108" s="19"/>
      <c r="K108" s="20"/>
      <c r="L108" s="20"/>
      <c r="M108" s="20"/>
      <c r="N108" s="21"/>
      <c r="O108" s="21"/>
      <c r="P108" s="22"/>
      <c r="Q108" s="23"/>
      <c r="R108" s="24"/>
      <c r="S108" s="25"/>
      <c r="T108" s="24"/>
      <c r="U108" s="25"/>
      <c r="V108" s="24"/>
      <c r="W108" s="26"/>
      <c r="X108" s="27"/>
      <c r="Y108" s="26"/>
      <c r="Z108" s="27"/>
      <c r="AA108" s="26"/>
      <c r="AB108" s="27"/>
      <c r="AC108" s="28"/>
      <c r="AD108" s="29"/>
      <c r="AE108" s="28"/>
      <c r="AF108" s="29"/>
      <c r="AG108" s="29"/>
      <c r="AI108" s="30"/>
      <c r="AJ108" s="22"/>
      <c r="AK108" s="22"/>
      <c r="AL108" s="22"/>
      <c r="AM108" s="31"/>
      <c r="AN108" s="22"/>
      <c r="AO108" s="32"/>
      <c r="AX108" s="17"/>
      <c r="AY108" s="17"/>
      <c r="AZ108" s="17"/>
      <c r="BA108" s="17"/>
      <c r="BB108" s="17"/>
      <c r="BC108" s="17"/>
      <c r="BD108" s="17"/>
      <c r="BE108" s="17"/>
      <c r="BF108" s="17"/>
      <c r="BG108" s="17"/>
      <c r="BH108" s="17"/>
      <c r="BI108" s="17"/>
      <c r="BJ108" s="17"/>
    </row>
    <row r="109" spans="2:62" s="14" customFormat="1" ht="11.25">
      <c r="B109" s="15">
        <v>35266</v>
      </c>
      <c r="C109" s="16" t="s">
        <v>16</v>
      </c>
      <c r="D109" s="15">
        <v>4</v>
      </c>
      <c r="E109" s="15" t="s">
        <v>8</v>
      </c>
      <c r="F109" s="15" t="s">
        <v>9</v>
      </c>
      <c r="G109" s="15" t="s">
        <v>15</v>
      </c>
      <c r="H109" s="18"/>
      <c r="I109" s="18"/>
      <c r="J109" s="19"/>
      <c r="K109" s="20"/>
      <c r="L109" s="20"/>
      <c r="M109" s="20"/>
      <c r="N109" s="21"/>
      <c r="O109" s="21"/>
      <c r="P109" s="22"/>
      <c r="Q109" s="23"/>
      <c r="R109" s="24"/>
      <c r="S109" s="25"/>
      <c r="T109" s="24"/>
      <c r="U109" s="25"/>
      <c r="V109" s="24"/>
      <c r="W109" s="26"/>
      <c r="X109" s="27"/>
      <c r="Y109" s="26"/>
      <c r="Z109" s="27"/>
      <c r="AA109" s="26"/>
      <c r="AB109" s="27"/>
      <c r="AC109" s="28"/>
      <c r="AD109" s="29"/>
      <c r="AE109" s="28"/>
      <c r="AF109" s="29"/>
      <c r="AG109" s="29"/>
      <c r="AI109" s="30"/>
      <c r="AJ109" s="22"/>
      <c r="AK109" s="22"/>
      <c r="AL109" s="22"/>
      <c r="AM109" s="31"/>
      <c r="AN109" s="22"/>
      <c r="AO109" s="32"/>
      <c r="AX109" s="17"/>
      <c r="AY109" s="17"/>
      <c r="AZ109" s="17"/>
      <c r="BA109" s="17"/>
      <c r="BB109" s="17"/>
      <c r="BC109" s="17"/>
      <c r="BD109" s="17"/>
      <c r="BE109" s="17"/>
      <c r="BF109" s="17"/>
      <c r="BG109" s="17"/>
      <c r="BH109" s="17"/>
      <c r="BI109" s="17"/>
      <c r="BJ109" s="17"/>
    </row>
    <row r="110" spans="2:62" s="14" customFormat="1" ht="11.25">
      <c r="B110" s="15">
        <v>35402</v>
      </c>
      <c r="C110" s="16" t="s">
        <v>36</v>
      </c>
      <c r="D110" s="15">
        <v>2</v>
      </c>
      <c r="E110" s="15" t="s">
        <v>8</v>
      </c>
      <c r="F110" s="15" t="s">
        <v>9</v>
      </c>
      <c r="G110" s="15" t="s">
        <v>15</v>
      </c>
      <c r="H110" s="18"/>
      <c r="I110" s="18"/>
      <c r="J110" s="19"/>
      <c r="K110" s="20"/>
      <c r="L110" s="20"/>
      <c r="M110" s="20"/>
      <c r="N110" s="21"/>
      <c r="O110" s="21"/>
      <c r="P110" s="22"/>
      <c r="Q110" s="23"/>
      <c r="R110" s="24"/>
      <c r="S110" s="25"/>
      <c r="T110" s="24"/>
      <c r="U110" s="25"/>
      <c r="V110" s="24"/>
      <c r="W110" s="26"/>
      <c r="X110" s="27"/>
      <c r="Y110" s="26"/>
      <c r="Z110" s="27"/>
      <c r="AA110" s="26"/>
      <c r="AB110" s="27"/>
      <c r="AC110" s="28"/>
      <c r="AD110" s="29"/>
      <c r="AE110" s="28"/>
      <c r="AF110" s="29"/>
      <c r="AG110" s="29"/>
      <c r="AI110" s="30"/>
      <c r="AJ110" s="22"/>
      <c r="AK110" s="22"/>
      <c r="AL110" s="22"/>
      <c r="AM110" s="31"/>
      <c r="AN110" s="22"/>
      <c r="AO110" s="32"/>
      <c r="AX110" s="17"/>
      <c r="AY110" s="17"/>
      <c r="AZ110" s="17"/>
      <c r="BA110" s="17"/>
      <c r="BB110" s="17"/>
      <c r="BC110" s="17"/>
      <c r="BD110" s="17"/>
      <c r="BE110" s="17"/>
      <c r="BF110" s="17"/>
      <c r="BG110" s="17"/>
      <c r="BH110" s="17"/>
      <c r="BI110" s="17"/>
      <c r="BJ110" s="17"/>
    </row>
    <row r="111" spans="2:62" s="14" customFormat="1" ht="11.25">
      <c r="B111" s="15">
        <v>35006</v>
      </c>
      <c r="C111" s="16" t="s">
        <v>79</v>
      </c>
      <c r="D111" s="15"/>
      <c r="E111" s="15" t="s">
        <v>41</v>
      </c>
      <c r="F111" s="15" t="s">
        <v>13</v>
      </c>
      <c r="G111" s="15" t="s">
        <v>15</v>
      </c>
      <c r="H111" s="18"/>
      <c r="I111" s="18"/>
      <c r="J111" s="19"/>
      <c r="K111" s="20"/>
      <c r="L111" s="20"/>
      <c r="M111" s="20"/>
      <c r="N111" s="21"/>
      <c r="O111" s="21"/>
      <c r="P111" s="22"/>
      <c r="Q111" s="23"/>
      <c r="R111" s="24"/>
      <c r="S111" s="25"/>
      <c r="T111" s="24"/>
      <c r="U111" s="25"/>
      <c r="V111" s="24"/>
      <c r="W111" s="26"/>
      <c r="X111" s="27"/>
      <c r="Y111" s="26"/>
      <c r="Z111" s="27"/>
      <c r="AA111" s="26"/>
      <c r="AB111" s="27"/>
      <c r="AC111" s="28"/>
      <c r="AD111" s="29"/>
      <c r="AE111" s="28"/>
      <c r="AF111" s="29"/>
      <c r="AG111" s="29"/>
      <c r="AI111" s="39"/>
      <c r="AJ111" s="22"/>
      <c r="AK111" s="22"/>
      <c r="AL111" s="22"/>
      <c r="AM111" s="31"/>
      <c r="AN111" s="22"/>
      <c r="AO111" s="32"/>
      <c r="AX111" s="17"/>
      <c r="AY111" s="17"/>
      <c r="AZ111" s="17"/>
      <c r="BA111" s="17"/>
      <c r="BB111" s="17"/>
      <c r="BC111" s="17"/>
      <c r="BD111" s="17"/>
      <c r="BE111" s="17"/>
      <c r="BF111" s="17"/>
      <c r="BG111" s="17"/>
      <c r="BH111" s="17"/>
      <c r="BI111" s="17"/>
      <c r="BJ111" s="17"/>
    </row>
    <row r="112" spans="2:62" s="14" customFormat="1" ht="11.25">
      <c r="B112" s="15">
        <v>35045</v>
      </c>
      <c r="C112" s="16" t="s">
        <v>83</v>
      </c>
      <c r="D112" s="15"/>
      <c r="E112" s="15" t="s">
        <v>41</v>
      </c>
      <c r="F112" s="15" t="s">
        <v>13</v>
      </c>
      <c r="G112" s="15" t="s">
        <v>15</v>
      </c>
      <c r="H112" s="18"/>
      <c r="I112" s="18"/>
      <c r="J112" s="19"/>
      <c r="K112" s="20"/>
      <c r="L112" s="20"/>
      <c r="M112" s="20"/>
      <c r="N112" s="21"/>
      <c r="O112" s="21"/>
      <c r="P112" s="22"/>
      <c r="Q112" s="23"/>
      <c r="R112" s="24"/>
      <c r="S112" s="25"/>
      <c r="T112" s="24"/>
      <c r="U112" s="25"/>
      <c r="V112" s="24"/>
      <c r="W112" s="26"/>
      <c r="X112" s="27"/>
      <c r="Y112" s="26"/>
      <c r="Z112" s="27"/>
      <c r="AA112" s="26"/>
      <c r="AB112" s="27"/>
      <c r="AC112" s="28"/>
      <c r="AD112" s="29"/>
      <c r="AE112" s="28"/>
      <c r="AF112" s="29"/>
      <c r="AG112" s="29"/>
      <c r="AI112" s="39"/>
      <c r="AJ112" s="22"/>
      <c r="AK112" s="22"/>
      <c r="AL112" s="22"/>
      <c r="AM112" s="31"/>
      <c r="AN112" s="22"/>
      <c r="AO112" s="32"/>
      <c r="AX112" s="17"/>
      <c r="AY112" s="17"/>
      <c r="AZ112" s="17"/>
      <c r="BA112" s="17"/>
      <c r="BB112" s="17"/>
      <c r="BC112" s="17"/>
      <c r="BD112" s="17"/>
      <c r="BE112" s="17"/>
      <c r="BF112" s="17"/>
      <c r="BG112" s="17"/>
      <c r="BH112" s="17"/>
      <c r="BI112" s="17"/>
      <c r="BJ112" s="17"/>
    </row>
    <row r="113" spans="2:62" s="14" customFormat="1" ht="11.25">
      <c r="B113" s="15">
        <v>35121</v>
      </c>
      <c r="C113" s="16" t="s">
        <v>76</v>
      </c>
      <c r="D113" s="15"/>
      <c r="E113" s="15" t="s">
        <v>41</v>
      </c>
      <c r="F113" s="15" t="s">
        <v>11</v>
      </c>
      <c r="G113" s="15" t="s">
        <v>15</v>
      </c>
      <c r="H113" s="18"/>
      <c r="I113" s="18"/>
      <c r="J113" s="19"/>
      <c r="K113" s="20"/>
      <c r="L113" s="20"/>
      <c r="M113" s="20"/>
      <c r="N113" s="21"/>
      <c r="O113" s="21"/>
      <c r="P113" s="22"/>
      <c r="Q113" s="23"/>
      <c r="R113" s="24"/>
      <c r="S113" s="25"/>
      <c r="T113" s="24"/>
      <c r="U113" s="25"/>
      <c r="V113" s="24"/>
      <c r="W113" s="26"/>
      <c r="X113" s="27"/>
      <c r="Y113" s="26"/>
      <c r="Z113" s="27"/>
      <c r="AA113" s="26"/>
      <c r="AB113" s="27"/>
      <c r="AC113" s="28"/>
      <c r="AD113" s="29"/>
      <c r="AE113" s="28"/>
      <c r="AF113" s="29"/>
      <c r="AG113" s="29"/>
      <c r="AI113" s="39"/>
      <c r="AJ113" s="22"/>
      <c r="AK113" s="22"/>
      <c r="AL113" s="22"/>
      <c r="AM113" s="31"/>
      <c r="AN113" s="22"/>
      <c r="AO113" s="32"/>
      <c r="AX113" s="17"/>
      <c r="AY113" s="17"/>
      <c r="AZ113" s="17"/>
      <c r="BA113" s="17"/>
      <c r="BB113" s="17"/>
      <c r="BC113" s="17"/>
      <c r="BD113" s="17"/>
      <c r="BE113" s="17"/>
      <c r="BF113" s="17"/>
      <c r="BG113" s="17"/>
      <c r="BH113" s="17"/>
      <c r="BI113" s="17"/>
      <c r="BJ113" s="17"/>
    </row>
    <row r="114" spans="2:62" s="14" customFormat="1" ht="11.25">
      <c r="B114" s="15">
        <v>35123</v>
      </c>
      <c r="C114" s="16" t="s">
        <v>85</v>
      </c>
      <c r="D114" s="15"/>
      <c r="E114" s="15" t="s">
        <v>41</v>
      </c>
      <c r="F114" s="15" t="s">
        <v>11</v>
      </c>
      <c r="G114" s="15" t="s">
        <v>15</v>
      </c>
      <c r="H114" s="18"/>
      <c r="I114" s="18"/>
      <c r="J114" s="19"/>
      <c r="K114" s="20"/>
      <c r="L114" s="20"/>
      <c r="M114" s="20"/>
      <c r="N114" s="21"/>
      <c r="O114" s="21"/>
      <c r="P114" s="22"/>
      <c r="Q114" s="23"/>
      <c r="R114" s="24"/>
      <c r="S114" s="25"/>
      <c r="T114" s="24"/>
      <c r="U114" s="25"/>
      <c r="V114" s="24"/>
      <c r="W114" s="26"/>
      <c r="X114" s="27"/>
      <c r="Y114" s="26"/>
      <c r="Z114" s="27"/>
      <c r="AA114" s="26"/>
      <c r="AB114" s="27"/>
      <c r="AC114" s="28"/>
      <c r="AD114" s="29"/>
      <c r="AE114" s="28"/>
      <c r="AF114" s="29"/>
      <c r="AG114" s="29"/>
      <c r="AI114" s="39"/>
      <c r="AJ114" s="22"/>
      <c r="AK114" s="22"/>
      <c r="AL114" s="22"/>
      <c r="AM114" s="31"/>
      <c r="AN114" s="22"/>
      <c r="AO114" s="32"/>
      <c r="AX114" s="17"/>
      <c r="AY114" s="17"/>
      <c r="AZ114" s="17"/>
      <c r="BA114" s="17"/>
      <c r="BB114" s="17"/>
      <c r="BC114" s="17"/>
      <c r="BD114" s="17"/>
      <c r="BE114" s="17"/>
      <c r="BF114" s="17"/>
      <c r="BG114" s="17"/>
      <c r="BH114" s="17"/>
      <c r="BI114" s="17"/>
      <c r="BJ114" s="17"/>
    </row>
    <row r="115" spans="2:40" ht="12.75">
      <c r="B115" s="1">
        <v>35164</v>
      </c>
      <c r="C115" s="33" t="s">
        <v>103</v>
      </c>
      <c r="E115" s="1" t="s">
        <v>41</v>
      </c>
      <c r="F115" s="1" t="s">
        <v>13</v>
      </c>
      <c r="G115" s="1" t="s">
        <v>15</v>
      </c>
      <c r="J115" s="34"/>
      <c r="K115" s="35"/>
      <c r="L115" s="35"/>
      <c r="M115" s="35"/>
      <c r="N115" s="36"/>
      <c r="O115" s="36"/>
      <c r="P115" s="22"/>
      <c r="R115" s="18"/>
      <c r="S115" s="47"/>
      <c r="T115" s="18"/>
      <c r="U115" s="23"/>
      <c r="W115" s="45"/>
      <c r="AC115" s="46"/>
      <c r="AD115" s="36"/>
      <c r="AE115" s="46"/>
      <c r="AF115" s="36"/>
      <c r="AG115" s="36"/>
      <c r="AJ115" s="22"/>
      <c r="AK115" s="22"/>
      <c r="AL115" s="22"/>
      <c r="AM115" s="31"/>
      <c r="AN115" s="22"/>
    </row>
    <row r="116" spans="2:40" ht="12.75">
      <c r="B116" s="1">
        <v>35150</v>
      </c>
      <c r="C116" s="33" t="s">
        <v>134</v>
      </c>
      <c r="E116" s="15" t="s">
        <v>8</v>
      </c>
      <c r="F116" s="1" t="s">
        <v>13</v>
      </c>
      <c r="G116" s="1" t="s">
        <v>15</v>
      </c>
      <c r="J116" s="34"/>
      <c r="K116" s="35"/>
      <c r="L116" s="35"/>
      <c r="M116" s="35"/>
      <c r="N116" s="36"/>
      <c r="O116" s="36"/>
      <c r="P116" s="22"/>
      <c r="R116" s="18"/>
      <c r="S116" s="47"/>
      <c r="T116" s="18"/>
      <c r="U116" s="23"/>
      <c r="W116" s="45"/>
      <c r="Y116" s="45"/>
      <c r="AA116" s="45"/>
      <c r="AC116" s="46"/>
      <c r="AD116" s="36"/>
      <c r="AE116" s="46"/>
      <c r="AF116" s="36"/>
      <c r="AG116" s="36"/>
      <c r="AI116" s="39"/>
      <c r="AJ116" s="22"/>
      <c r="AK116" s="22"/>
      <c r="AL116" s="22"/>
      <c r="AM116" s="31"/>
      <c r="AN116" s="22"/>
    </row>
    <row r="117" spans="2:62" s="14" customFormat="1" ht="11.25">
      <c r="B117" s="15">
        <v>35170</v>
      </c>
      <c r="C117" s="16" t="s">
        <v>14</v>
      </c>
      <c r="D117" s="15"/>
      <c r="E117" s="15" t="s">
        <v>8</v>
      </c>
      <c r="F117" s="15" t="s">
        <v>11</v>
      </c>
      <c r="G117" s="15" t="s">
        <v>15</v>
      </c>
      <c r="H117" s="18"/>
      <c r="I117" s="18"/>
      <c r="J117" s="19"/>
      <c r="K117" s="20"/>
      <c r="L117" s="20"/>
      <c r="M117" s="20"/>
      <c r="N117" s="21"/>
      <c r="O117" s="21"/>
      <c r="P117" s="22"/>
      <c r="Q117" s="23"/>
      <c r="R117" s="24"/>
      <c r="S117" s="25"/>
      <c r="T117" s="24"/>
      <c r="U117" s="25"/>
      <c r="V117" s="24"/>
      <c r="W117" s="26"/>
      <c r="X117" s="27"/>
      <c r="Y117" s="26"/>
      <c r="Z117" s="27"/>
      <c r="AA117" s="26"/>
      <c r="AB117" s="27"/>
      <c r="AC117" s="28"/>
      <c r="AD117" s="29"/>
      <c r="AE117" s="28"/>
      <c r="AF117" s="29"/>
      <c r="AG117" s="29"/>
      <c r="AI117" s="39"/>
      <c r="AJ117" s="22"/>
      <c r="AK117" s="22"/>
      <c r="AL117" s="22"/>
      <c r="AM117" s="31"/>
      <c r="AN117" s="22"/>
      <c r="AO117" s="32"/>
      <c r="AX117" s="17"/>
      <c r="AY117" s="17"/>
      <c r="AZ117" s="17"/>
      <c r="BA117" s="17"/>
      <c r="BB117" s="17"/>
      <c r="BC117" s="17"/>
      <c r="BD117" s="17"/>
      <c r="BE117" s="17"/>
      <c r="BF117" s="17"/>
      <c r="BG117" s="17"/>
      <c r="BH117" s="17"/>
      <c r="BI117" s="17"/>
      <c r="BJ117" s="17"/>
    </row>
    <row r="118" spans="2:40" ht="12.75">
      <c r="B118" s="1">
        <v>35194</v>
      </c>
      <c r="C118" s="33" t="s">
        <v>111</v>
      </c>
      <c r="E118" s="1" t="s">
        <v>8</v>
      </c>
      <c r="F118" s="1" t="s">
        <v>13</v>
      </c>
      <c r="G118" s="1" t="s">
        <v>15</v>
      </c>
      <c r="J118" s="34"/>
      <c r="K118" s="35"/>
      <c r="L118" s="35"/>
      <c r="M118" s="35"/>
      <c r="N118" s="36"/>
      <c r="O118" s="36"/>
      <c r="P118" s="22"/>
      <c r="R118" s="18"/>
      <c r="S118" s="47"/>
      <c r="T118" s="18"/>
      <c r="U118" s="47"/>
      <c r="W118" s="45"/>
      <c r="AC118" s="46"/>
      <c r="AD118" s="36"/>
      <c r="AE118" s="46"/>
      <c r="AF118" s="36"/>
      <c r="AG118" s="36"/>
      <c r="AJ118" s="22"/>
      <c r="AK118" s="22"/>
      <c r="AL118" s="22"/>
      <c r="AM118" s="31"/>
      <c r="AN118" s="22"/>
    </row>
    <row r="119" spans="2:62" s="14" customFormat="1" ht="11.25">
      <c r="B119" s="15">
        <v>35336</v>
      </c>
      <c r="C119" s="16" t="s">
        <v>105</v>
      </c>
      <c r="D119" s="15"/>
      <c r="E119" s="15" t="s">
        <v>8</v>
      </c>
      <c r="F119" s="15" t="s">
        <v>13</v>
      </c>
      <c r="G119" s="15" t="s">
        <v>15</v>
      </c>
      <c r="H119" s="18"/>
      <c r="I119" s="18"/>
      <c r="J119" s="19"/>
      <c r="K119" s="20"/>
      <c r="L119" s="20"/>
      <c r="M119" s="20"/>
      <c r="N119" s="21"/>
      <c r="O119" s="21"/>
      <c r="P119" s="22"/>
      <c r="Q119" s="23"/>
      <c r="R119" s="24"/>
      <c r="S119" s="25"/>
      <c r="T119" s="24"/>
      <c r="U119" s="25"/>
      <c r="V119" s="24"/>
      <c r="W119" s="26"/>
      <c r="X119" s="27"/>
      <c r="Y119" s="26"/>
      <c r="Z119" s="27"/>
      <c r="AA119" s="26"/>
      <c r="AB119" s="27"/>
      <c r="AC119" s="28"/>
      <c r="AD119" s="29"/>
      <c r="AE119" s="28"/>
      <c r="AF119" s="29"/>
      <c r="AG119" s="29"/>
      <c r="AI119" s="39"/>
      <c r="AJ119" s="22"/>
      <c r="AK119" s="22"/>
      <c r="AL119" s="22"/>
      <c r="AM119" s="31"/>
      <c r="AN119" s="22"/>
      <c r="AO119" s="32"/>
      <c r="AX119" s="17"/>
      <c r="AY119" s="17"/>
      <c r="AZ119" s="17"/>
      <c r="BA119" s="17"/>
      <c r="BB119" s="17"/>
      <c r="BC119" s="17"/>
      <c r="BD119" s="17"/>
      <c r="BE119" s="17"/>
      <c r="BF119" s="17"/>
      <c r="BG119" s="17"/>
      <c r="BH119" s="17"/>
      <c r="BI119" s="17"/>
      <c r="BJ119" s="17"/>
    </row>
    <row r="120" spans="2:62" s="14" customFormat="1" ht="11.25">
      <c r="B120" s="15">
        <v>35389</v>
      </c>
      <c r="C120" s="16" t="s">
        <v>43</v>
      </c>
      <c r="D120" s="15"/>
      <c r="E120" s="15" t="s">
        <v>8</v>
      </c>
      <c r="F120" s="15" t="s">
        <v>13</v>
      </c>
      <c r="G120" s="15" t="s">
        <v>15</v>
      </c>
      <c r="H120" s="18"/>
      <c r="I120" s="18"/>
      <c r="J120" s="19"/>
      <c r="K120" s="20"/>
      <c r="L120" s="20"/>
      <c r="M120" s="20"/>
      <c r="N120" s="21"/>
      <c r="O120" s="21"/>
      <c r="P120" s="22"/>
      <c r="Q120" s="23"/>
      <c r="R120" s="24"/>
      <c r="S120" s="25"/>
      <c r="T120" s="24"/>
      <c r="U120" s="25"/>
      <c r="V120" s="24"/>
      <c r="W120" s="26"/>
      <c r="X120" s="27"/>
      <c r="Y120" s="26"/>
      <c r="Z120" s="27"/>
      <c r="AA120" s="26"/>
      <c r="AB120" s="27"/>
      <c r="AC120" s="28"/>
      <c r="AD120" s="29"/>
      <c r="AE120" s="28"/>
      <c r="AF120" s="29"/>
      <c r="AG120" s="29"/>
      <c r="AI120" s="39"/>
      <c r="AJ120" s="22"/>
      <c r="AK120" s="22"/>
      <c r="AL120" s="22"/>
      <c r="AM120" s="31"/>
      <c r="AN120" s="22"/>
      <c r="AO120" s="32"/>
      <c r="AX120" s="17"/>
      <c r="AY120" s="17"/>
      <c r="AZ120" s="17"/>
      <c r="BA120" s="17"/>
      <c r="BB120" s="17"/>
      <c r="BC120" s="17"/>
      <c r="BD120" s="17"/>
      <c r="BE120" s="17"/>
      <c r="BF120" s="17"/>
      <c r="BG120" s="17"/>
      <c r="BH120" s="17"/>
      <c r="BI120" s="17"/>
      <c r="BJ120" s="17"/>
    </row>
    <row r="121" spans="2:62" s="14" customFormat="1" ht="11.25">
      <c r="B121" s="15">
        <v>35485</v>
      </c>
      <c r="C121" s="16" t="s">
        <v>121</v>
      </c>
      <c r="D121" s="15"/>
      <c r="E121" s="15" t="s">
        <v>8</v>
      </c>
      <c r="F121" s="15" t="s">
        <v>13</v>
      </c>
      <c r="G121" s="15" t="s">
        <v>15</v>
      </c>
      <c r="H121" s="18"/>
      <c r="I121" s="18"/>
      <c r="J121" s="19"/>
      <c r="K121" s="20"/>
      <c r="L121" s="20"/>
      <c r="M121" s="20"/>
      <c r="N121" s="21"/>
      <c r="O121" s="21"/>
      <c r="P121" s="22"/>
      <c r="Q121" s="23"/>
      <c r="R121" s="24"/>
      <c r="S121" s="25"/>
      <c r="T121" s="24"/>
      <c r="U121" s="25"/>
      <c r="V121" s="24"/>
      <c r="W121" s="26"/>
      <c r="X121" s="27"/>
      <c r="Y121" s="26"/>
      <c r="Z121" s="27"/>
      <c r="AA121" s="26"/>
      <c r="AB121" s="27"/>
      <c r="AC121" s="28"/>
      <c r="AD121" s="29"/>
      <c r="AE121" s="28"/>
      <c r="AF121" s="29"/>
      <c r="AG121" s="29"/>
      <c r="AI121" s="39"/>
      <c r="AJ121" s="22"/>
      <c r="AK121" s="22"/>
      <c r="AL121" s="22"/>
      <c r="AM121" s="31"/>
      <c r="AN121" s="22"/>
      <c r="AO121" s="32"/>
      <c r="AX121" s="17"/>
      <c r="AY121" s="17"/>
      <c r="AZ121" s="17"/>
      <c r="BA121" s="17"/>
      <c r="BB121" s="17"/>
      <c r="BC121" s="17"/>
      <c r="BD121" s="17"/>
      <c r="BE121" s="17"/>
      <c r="BF121" s="17"/>
      <c r="BG121" s="17"/>
      <c r="BH121" s="17"/>
      <c r="BI121" s="17"/>
      <c r="BJ121" s="17"/>
    </row>
    <row r="122" spans="2:40" ht="12.75">
      <c r="B122" s="1">
        <v>35506</v>
      </c>
      <c r="C122" s="33" t="s">
        <v>166</v>
      </c>
      <c r="E122" s="15" t="s">
        <v>8</v>
      </c>
      <c r="F122" s="1" t="s">
        <v>13</v>
      </c>
      <c r="G122" s="1" t="s">
        <v>15</v>
      </c>
      <c r="J122" s="34"/>
      <c r="K122" s="35"/>
      <c r="L122" s="35"/>
      <c r="M122" s="35"/>
      <c r="N122" s="36"/>
      <c r="O122" s="36"/>
      <c r="P122" s="22"/>
      <c r="R122" s="18"/>
      <c r="S122" s="47"/>
      <c r="T122" s="18"/>
      <c r="U122" s="23"/>
      <c r="W122" s="45"/>
      <c r="Y122" s="45"/>
      <c r="AA122" s="45"/>
      <c r="AC122" s="46"/>
      <c r="AD122" s="36"/>
      <c r="AE122" s="46"/>
      <c r="AF122" s="36"/>
      <c r="AG122" s="36"/>
      <c r="AI122" s="39"/>
      <c r="AJ122" s="22"/>
      <c r="AK122" s="22"/>
      <c r="AL122" s="22"/>
      <c r="AM122" s="31"/>
      <c r="AN122" s="22"/>
    </row>
    <row r="123" spans="2:40" ht="12.75">
      <c r="B123" s="1">
        <v>35528</v>
      </c>
      <c r="C123" s="33" t="s">
        <v>108</v>
      </c>
      <c r="E123" s="15" t="s">
        <v>8</v>
      </c>
      <c r="F123" s="1" t="s">
        <v>13</v>
      </c>
      <c r="G123" s="1" t="s">
        <v>15</v>
      </c>
      <c r="J123" s="34"/>
      <c r="K123" s="35"/>
      <c r="L123" s="35"/>
      <c r="M123" s="35"/>
      <c r="N123" s="36"/>
      <c r="O123" s="36"/>
      <c r="P123" s="22"/>
      <c r="R123" s="18"/>
      <c r="S123" s="47"/>
      <c r="T123" s="18"/>
      <c r="U123" s="23"/>
      <c r="W123" s="45"/>
      <c r="Y123" s="45"/>
      <c r="AA123" s="45"/>
      <c r="AC123" s="46"/>
      <c r="AD123" s="36"/>
      <c r="AE123" s="46"/>
      <c r="AF123" s="36"/>
      <c r="AG123" s="36"/>
      <c r="AI123" s="39"/>
      <c r="AJ123" s="22"/>
      <c r="AK123" s="22"/>
      <c r="AL123" s="22"/>
      <c r="AM123" s="31"/>
      <c r="AN123" s="22"/>
    </row>
    <row r="124" spans="2:40" ht="12.75">
      <c r="B124" s="1">
        <v>35550</v>
      </c>
      <c r="C124" s="33" t="s">
        <v>167</v>
      </c>
      <c r="E124" s="15" t="s">
        <v>8</v>
      </c>
      <c r="F124" s="1" t="s">
        <v>13</v>
      </c>
      <c r="G124" s="1" t="s">
        <v>15</v>
      </c>
      <c r="J124" s="34"/>
      <c r="K124" s="35"/>
      <c r="L124" s="35"/>
      <c r="M124" s="35"/>
      <c r="N124" s="36"/>
      <c r="O124" s="36"/>
      <c r="P124" s="22"/>
      <c r="R124" s="18"/>
      <c r="S124" s="47"/>
      <c r="T124" s="18"/>
      <c r="U124" s="23"/>
      <c r="W124" s="45"/>
      <c r="Y124" s="45"/>
      <c r="AA124" s="45"/>
      <c r="AC124" s="46"/>
      <c r="AD124" s="36"/>
      <c r="AE124" s="46"/>
      <c r="AF124" s="36"/>
      <c r="AG124" s="36"/>
      <c r="AI124" s="39"/>
      <c r="AJ124" s="22"/>
      <c r="AK124" s="22"/>
      <c r="AL124" s="22"/>
      <c r="AM124" s="31"/>
      <c r="AN124" s="22"/>
    </row>
    <row r="125" spans="2:40" ht="12.75">
      <c r="B125" s="1">
        <v>35581</v>
      </c>
      <c r="C125" s="33" t="s">
        <v>104</v>
      </c>
      <c r="E125" s="1" t="s">
        <v>8</v>
      </c>
      <c r="F125" s="1" t="s">
        <v>13</v>
      </c>
      <c r="G125" s="1" t="s">
        <v>15</v>
      </c>
      <c r="J125" s="34"/>
      <c r="K125" s="35"/>
      <c r="L125" s="35"/>
      <c r="M125" s="35"/>
      <c r="N125" s="36"/>
      <c r="O125" s="36"/>
      <c r="P125" s="22"/>
      <c r="R125" s="18"/>
      <c r="S125" s="47"/>
      <c r="T125" s="18"/>
      <c r="U125" s="47"/>
      <c r="W125" s="45"/>
      <c r="Y125" s="45"/>
      <c r="AC125" s="46"/>
      <c r="AD125" s="36"/>
      <c r="AE125" s="46"/>
      <c r="AF125" s="36"/>
      <c r="AG125" s="36"/>
      <c r="AJ125" s="22"/>
      <c r="AK125" s="22"/>
      <c r="AL125" s="22"/>
      <c r="AM125" s="31"/>
      <c r="AN125" s="22"/>
    </row>
    <row r="126" spans="2:40" ht="12.75">
      <c r="B126" s="1">
        <v>35208</v>
      </c>
      <c r="C126" s="33" t="s">
        <v>150</v>
      </c>
      <c r="E126" s="15" t="s">
        <v>8</v>
      </c>
      <c r="F126" s="1" t="s">
        <v>25</v>
      </c>
      <c r="G126" s="1" t="s">
        <v>15</v>
      </c>
      <c r="J126" s="34"/>
      <c r="K126" s="35"/>
      <c r="L126" s="35"/>
      <c r="M126" s="35"/>
      <c r="N126" s="36"/>
      <c r="O126" s="36"/>
      <c r="P126" s="22"/>
      <c r="R126" s="18"/>
      <c r="S126" s="47"/>
      <c r="T126" s="18"/>
      <c r="U126" s="43"/>
      <c r="W126" s="45"/>
      <c r="Y126" s="45"/>
      <c r="AA126" s="45"/>
      <c r="AC126" s="46"/>
      <c r="AD126" s="36"/>
      <c r="AE126" s="46"/>
      <c r="AF126" s="36"/>
      <c r="AG126" s="36"/>
      <c r="AI126" s="39"/>
      <c r="AJ126" s="22"/>
      <c r="AK126" s="22"/>
      <c r="AL126" s="22"/>
      <c r="AM126" s="31"/>
      <c r="AN126" s="22"/>
    </row>
    <row r="127" spans="2:40" ht="12.75">
      <c r="B127" s="1">
        <v>35211</v>
      </c>
      <c r="C127" s="33" t="s">
        <v>131</v>
      </c>
      <c r="E127" s="15" t="s">
        <v>8</v>
      </c>
      <c r="F127" s="15" t="s">
        <v>25</v>
      </c>
      <c r="G127" s="1" t="s">
        <v>15</v>
      </c>
      <c r="J127" s="34"/>
      <c r="K127" s="35"/>
      <c r="L127" s="35"/>
      <c r="M127" s="35"/>
      <c r="N127" s="36"/>
      <c r="O127" s="36"/>
      <c r="P127" s="22"/>
      <c r="R127" s="18"/>
      <c r="S127" s="47"/>
      <c r="T127" s="18"/>
      <c r="U127" s="23"/>
      <c r="W127" s="45"/>
      <c r="Y127" s="45"/>
      <c r="AA127" s="45"/>
      <c r="AC127" s="46"/>
      <c r="AD127" s="36"/>
      <c r="AE127" s="46"/>
      <c r="AF127" s="36"/>
      <c r="AG127" s="36"/>
      <c r="AI127" s="39"/>
      <c r="AJ127" s="22"/>
      <c r="AK127" s="22"/>
      <c r="AL127" s="22"/>
      <c r="AM127" s="31"/>
      <c r="AN127" s="22"/>
    </row>
    <row r="128" spans="2:40" ht="12.75">
      <c r="B128" s="1">
        <v>35226</v>
      </c>
      <c r="C128" s="33" t="s">
        <v>112</v>
      </c>
      <c r="E128" s="15" t="s">
        <v>8</v>
      </c>
      <c r="F128" s="15" t="s">
        <v>25</v>
      </c>
      <c r="G128" s="1" t="s">
        <v>15</v>
      </c>
      <c r="J128" s="34"/>
      <c r="K128" s="35"/>
      <c r="L128" s="35"/>
      <c r="M128" s="35"/>
      <c r="N128" s="36"/>
      <c r="O128" s="36"/>
      <c r="P128" s="22"/>
      <c r="R128" s="18"/>
      <c r="S128" s="47"/>
      <c r="T128" s="18"/>
      <c r="U128" s="47"/>
      <c r="W128" s="45"/>
      <c r="Y128" s="45"/>
      <c r="AA128" s="45"/>
      <c r="AC128" s="46"/>
      <c r="AD128" s="36"/>
      <c r="AE128" s="46"/>
      <c r="AF128" s="36"/>
      <c r="AG128" s="36"/>
      <c r="AI128" s="39"/>
      <c r="AJ128" s="22"/>
      <c r="AK128" s="22"/>
      <c r="AL128" s="22"/>
      <c r="AM128" s="31"/>
      <c r="AN128" s="22"/>
    </row>
    <row r="129" spans="2:40" ht="12.75">
      <c r="B129" s="1">
        <v>35373</v>
      </c>
      <c r="C129" s="33" t="s">
        <v>153</v>
      </c>
      <c r="E129" s="1" t="s">
        <v>8</v>
      </c>
      <c r="F129" s="1" t="s">
        <v>25</v>
      </c>
      <c r="G129" s="1" t="s">
        <v>15</v>
      </c>
      <c r="J129" s="34"/>
      <c r="K129" s="35"/>
      <c r="L129" s="35"/>
      <c r="M129" s="35"/>
      <c r="N129" s="36"/>
      <c r="O129" s="36"/>
      <c r="P129" s="22"/>
      <c r="R129" s="18"/>
      <c r="S129" s="47"/>
      <c r="T129" s="18"/>
      <c r="U129" s="45"/>
      <c r="W129" s="45"/>
      <c r="AC129" s="46"/>
      <c r="AD129" s="36"/>
      <c r="AE129" s="46"/>
      <c r="AF129" s="36"/>
      <c r="AG129" s="36"/>
      <c r="AJ129" s="22"/>
      <c r="AK129" s="22"/>
      <c r="AL129" s="22"/>
      <c r="AM129" s="31"/>
      <c r="AN129" s="22"/>
    </row>
    <row r="130" spans="2:62" s="14" customFormat="1" ht="11.25">
      <c r="B130" s="15">
        <v>35403</v>
      </c>
      <c r="C130" s="16" t="s">
        <v>51</v>
      </c>
      <c r="D130" s="15"/>
      <c r="E130" s="15" t="s">
        <v>8</v>
      </c>
      <c r="F130" s="15" t="s">
        <v>25</v>
      </c>
      <c r="G130" s="15" t="s">
        <v>15</v>
      </c>
      <c r="H130" s="18"/>
      <c r="I130" s="18"/>
      <c r="J130" s="19"/>
      <c r="K130" s="20"/>
      <c r="L130" s="20"/>
      <c r="M130" s="20"/>
      <c r="N130" s="21"/>
      <c r="O130" s="21"/>
      <c r="P130" s="22"/>
      <c r="Q130" s="23"/>
      <c r="R130" s="24"/>
      <c r="S130" s="25"/>
      <c r="T130" s="24"/>
      <c r="U130" s="25"/>
      <c r="V130" s="24"/>
      <c r="W130" s="26"/>
      <c r="X130" s="27"/>
      <c r="Y130" s="26"/>
      <c r="Z130" s="27"/>
      <c r="AA130" s="26"/>
      <c r="AB130" s="27"/>
      <c r="AC130" s="28"/>
      <c r="AD130" s="29"/>
      <c r="AE130" s="28"/>
      <c r="AF130" s="29"/>
      <c r="AG130" s="29"/>
      <c r="AI130" s="39"/>
      <c r="AJ130" s="22"/>
      <c r="AK130" s="22"/>
      <c r="AL130" s="22"/>
      <c r="AM130" s="31"/>
      <c r="AN130" s="22"/>
      <c r="AO130" s="32"/>
      <c r="AX130" s="17"/>
      <c r="AY130" s="17"/>
      <c r="AZ130" s="17"/>
      <c r="BA130" s="17"/>
      <c r="BB130" s="17"/>
      <c r="BC130" s="17"/>
      <c r="BD130" s="17"/>
      <c r="BE130" s="17"/>
      <c r="BF130" s="17"/>
      <c r="BG130" s="17"/>
      <c r="BH130" s="17"/>
      <c r="BI130" s="17"/>
      <c r="BJ130" s="17"/>
    </row>
    <row r="131" spans="2:40" ht="12.75">
      <c r="B131" s="1">
        <v>35409</v>
      </c>
      <c r="C131" s="33" t="s">
        <v>149</v>
      </c>
      <c r="E131" s="15" t="s">
        <v>8</v>
      </c>
      <c r="F131" s="1" t="s">
        <v>25</v>
      </c>
      <c r="G131" s="1" t="s">
        <v>15</v>
      </c>
      <c r="J131" s="34"/>
      <c r="K131" s="35"/>
      <c r="L131" s="35"/>
      <c r="M131" s="35"/>
      <c r="N131" s="36"/>
      <c r="O131" s="36"/>
      <c r="P131" s="22"/>
      <c r="R131" s="18"/>
      <c r="S131" s="47"/>
      <c r="T131" s="18"/>
      <c r="U131" s="43"/>
      <c r="W131" s="45"/>
      <c r="Y131" s="45"/>
      <c r="AA131" s="45"/>
      <c r="AC131" s="46"/>
      <c r="AD131" s="36"/>
      <c r="AE131" s="46"/>
      <c r="AF131" s="36"/>
      <c r="AG131" s="36"/>
      <c r="AI131" s="39"/>
      <c r="AJ131" s="22"/>
      <c r="AK131" s="22"/>
      <c r="AL131" s="22"/>
      <c r="AM131" s="31"/>
      <c r="AN131" s="22"/>
    </row>
    <row r="132" spans="2:40" ht="12.75">
      <c r="B132" s="1">
        <v>35433</v>
      </c>
      <c r="C132" s="33" t="s">
        <v>159</v>
      </c>
      <c r="E132" s="15" t="s">
        <v>8</v>
      </c>
      <c r="F132" s="15" t="s">
        <v>25</v>
      </c>
      <c r="G132" s="1" t="s">
        <v>15</v>
      </c>
      <c r="J132" s="34"/>
      <c r="K132" s="35"/>
      <c r="L132" s="35"/>
      <c r="M132" s="35"/>
      <c r="N132" s="36"/>
      <c r="O132" s="36"/>
      <c r="P132" s="22"/>
      <c r="R132" s="42"/>
      <c r="S132" s="47"/>
      <c r="T132" s="42"/>
      <c r="U132" s="23"/>
      <c r="V132" s="42"/>
      <c r="W132" s="43"/>
      <c r="X132" s="44"/>
      <c r="Y132" s="45"/>
      <c r="Z132" s="44"/>
      <c r="AA132" s="45"/>
      <c r="AB132" s="44"/>
      <c r="AC132" s="46"/>
      <c r="AD132" s="36"/>
      <c r="AE132" s="46"/>
      <c r="AF132" s="36"/>
      <c r="AG132" s="36"/>
      <c r="AI132" s="39"/>
      <c r="AJ132" s="22"/>
      <c r="AK132" s="22"/>
      <c r="AL132" s="22"/>
      <c r="AM132" s="31"/>
      <c r="AN132" s="22"/>
    </row>
    <row r="133" spans="2:40" ht="12.75">
      <c r="B133" s="1">
        <v>35453</v>
      </c>
      <c r="C133" s="33" t="s">
        <v>154</v>
      </c>
      <c r="E133" s="15" t="s">
        <v>8</v>
      </c>
      <c r="F133" s="15" t="s">
        <v>25</v>
      </c>
      <c r="G133" s="1" t="s">
        <v>15</v>
      </c>
      <c r="J133" s="34"/>
      <c r="K133" s="35"/>
      <c r="L133" s="35"/>
      <c r="M133" s="35"/>
      <c r="N133" s="36"/>
      <c r="O133" s="36"/>
      <c r="P133" s="22"/>
      <c r="R133" s="18"/>
      <c r="S133" s="47"/>
      <c r="T133" s="18"/>
      <c r="U133" s="45"/>
      <c r="W133" s="45"/>
      <c r="Y133" s="45"/>
      <c r="AA133" s="45"/>
      <c r="AC133" s="46"/>
      <c r="AD133" s="36"/>
      <c r="AE133" s="46"/>
      <c r="AF133" s="36"/>
      <c r="AG133" s="36"/>
      <c r="AI133" s="39"/>
      <c r="AJ133" s="22"/>
      <c r="AK133" s="22"/>
      <c r="AL133" s="22"/>
      <c r="AM133" s="31"/>
      <c r="AN133" s="22"/>
    </row>
    <row r="134" spans="2:40" ht="12.75">
      <c r="B134" s="1">
        <v>35483</v>
      </c>
      <c r="C134" s="33" t="s">
        <v>128</v>
      </c>
      <c r="E134" s="15" t="s">
        <v>8</v>
      </c>
      <c r="F134" s="15" t="s">
        <v>25</v>
      </c>
      <c r="G134" s="1" t="s">
        <v>15</v>
      </c>
      <c r="J134" s="34"/>
      <c r="K134" s="35"/>
      <c r="L134" s="35"/>
      <c r="M134" s="35"/>
      <c r="N134" s="36"/>
      <c r="O134" s="36"/>
      <c r="P134" s="22"/>
      <c r="R134" s="18"/>
      <c r="S134" s="47"/>
      <c r="T134" s="18"/>
      <c r="U134" s="23"/>
      <c r="W134" s="45"/>
      <c r="Y134" s="45"/>
      <c r="AA134" s="45"/>
      <c r="AC134" s="46"/>
      <c r="AD134" s="36"/>
      <c r="AE134" s="46"/>
      <c r="AF134" s="36"/>
      <c r="AG134" s="36"/>
      <c r="AI134" s="39"/>
      <c r="AJ134" s="22"/>
      <c r="AK134" s="22"/>
      <c r="AL134" s="22"/>
      <c r="AM134" s="31"/>
      <c r="AN134" s="22"/>
    </row>
    <row r="135" spans="2:40" ht="12.75">
      <c r="B135" s="1">
        <v>35487</v>
      </c>
      <c r="C135" s="33" t="s">
        <v>136</v>
      </c>
      <c r="E135" s="15" t="s">
        <v>8</v>
      </c>
      <c r="F135" s="15" t="s">
        <v>25</v>
      </c>
      <c r="G135" s="1" t="s">
        <v>15</v>
      </c>
      <c r="J135" s="34"/>
      <c r="K135" s="35"/>
      <c r="L135" s="35"/>
      <c r="M135" s="35"/>
      <c r="N135" s="36"/>
      <c r="O135" s="36"/>
      <c r="P135" s="22"/>
      <c r="R135" s="18"/>
      <c r="S135" s="47"/>
      <c r="T135" s="18"/>
      <c r="U135" s="47"/>
      <c r="W135" s="45"/>
      <c r="Y135" s="45"/>
      <c r="AA135" s="45"/>
      <c r="AC135" s="46"/>
      <c r="AD135" s="36"/>
      <c r="AE135" s="46"/>
      <c r="AF135" s="36"/>
      <c r="AG135" s="36"/>
      <c r="AI135" s="39"/>
      <c r="AJ135" s="22"/>
      <c r="AK135" s="22"/>
      <c r="AL135" s="22"/>
      <c r="AM135" s="31"/>
      <c r="AN135" s="22"/>
    </row>
    <row r="136" spans="2:40" s="14" customFormat="1" ht="11.25">
      <c r="B136" s="14">
        <v>35515</v>
      </c>
      <c r="C136" s="16" t="s">
        <v>123</v>
      </c>
      <c r="E136" s="14" t="s">
        <v>8</v>
      </c>
      <c r="F136" s="14" t="s">
        <v>25</v>
      </c>
      <c r="G136" s="14" t="s">
        <v>15</v>
      </c>
      <c r="H136" s="18"/>
      <c r="I136" s="18"/>
      <c r="J136" s="19"/>
      <c r="K136" s="20"/>
      <c r="L136" s="20"/>
      <c r="M136" s="20"/>
      <c r="N136" s="21"/>
      <c r="O136" s="21"/>
      <c r="P136" s="22"/>
      <c r="Q136" s="23"/>
      <c r="R136" s="42"/>
      <c r="S136" s="23"/>
      <c r="T136" s="42"/>
      <c r="U136" s="23"/>
      <c r="V136" s="42"/>
      <c r="W136" s="43"/>
      <c r="X136" s="44"/>
      <c r="Y136" s="43"/>
      <c r="Z136" s="44"/>
      <c r="AA136" s="43"/>
      <c r="AB136" s="44"/>
      <c r="AC136" s="40"/>
      <c r="AD136" s="41"/>
      <c r="AE136" s="40"/>
      <c r="AF136" s="41"/>
      <c r="AG136" s="41"/>
      <c r="AI136" s="39"/>
      <c r="AJ136" s="22"/>
      <c r="AK136" s="22"/>
      <c r="AL136" s="22"/>
      <c r="AM136" s="31"/>
      <c r="AN136" s="22"/>
    </row>
    <row r="137" spans="2:40" ht="12.75">
      <c r="B137" s="1">
        <v>35573</v>
      </c>
      <c r="C137" s="33" t="s">
        <v>78</v>
      </c>
      <c r="E137" s="1" t="s">
        <v>8</v>
      </c>
      <c r="F137" s="1" t="s">
        <v>25</v>
      </c>
      <c r="G137" s="1" t="s">
        <v>15</v>
      </c>
      <c r="J137" s="34"/>
      <c r="K137" s="35"/>
      <c r="L137" s="35"/>
      <c r="M137" s="35"/>
      <c r="N137" s="36"/>
      <c r="O137" s="36"/>
      <c r="P137" s="22"/>
      <c r="R137" s="42"/>
      <c r="S137" s="23"/>
      <c r="T137" s="42"/>
      <c r="U137" s="23"/>
      <c r="V137" s="42"/>
      <c r="W137" s="43"/>
      <c r="X137" s="44"/>
      <c r="Y137" s="43"/>
      <c r="Z137" s="44"/>
      <c r="AA137" s="45"/>
      <c r="AB137" s="44"/>
      <c r="AC137" s="46"/>
      <c r="AD137" s="36"/>
      <c r="AE137" s="46"/>
      <c r="AF137" s="36"/>
      <c r="AG137" s="36"/>
      <c r="AI137" s="39"/>
      <c r="AJ137" s="22"/>
      <c r="AK137" s="22"/>
      <c r="AL137" s="22"/>
      <c r="AM137" s="31"/>
      <c r="AN137" s="22"/>
    </row>
    <row r="138" spans="2:40" ht="12.75">
      <c r="B138" s="1">
        <v>35577</v>
      </c>
      <c r="C138" s="33" t="s">
        <v>158</v>
      </c>
      <c r="E138" s="1" t="s">
        <v>8</v>
      </c>
      <c r="F138" s="1" t="s">
        <v>25</v>
      </c>
      <c r="G138" s="1" t="s">
        <v>15</v>
      </c>
      <c r="J138" s="34"/>
      <c r="K138" s="35"/>
      <c r="L138" s="35"/>
      <c r="M138" s="35"/>
      <c r="N138" s="36"/>
      <c r="O138" s="36"/>
      <c r="P138" s="22"/>
      <c r="R138" s="18"/>
      <c r="S138" s="47"/>
      <c r="T138" s="18"/>
      <c r="U138" s="43"/>
      <c r="W138" s="45"/>
      <c r="Y138" s="45"/>
      <c r="AC138" s="46"/>
      <c r="AD138" s="36"/>
      <c r="AE138" s="46"/>
      <c r="AF138" s="36"/>
      <c r="AG138" s="36"/>
      <c r="AI138" s="39"/>
      <c r="AJ138" s="22"/>
      <c r="AK138" s="22"/>
      <c r="AL138" s="22"/>
      <c r="AM138" s="31"/>
      <c r="AN138" s="22"/>
    </row>
    <row r="139" spans="2:40" ht="12.75">
      <c r="B139" s="1">
        <v>35592</v>
      </c>
      <c r="C139" s="33" t="s">
        <v>146</v>
      </c>
      <c r="E139" s="1" t="s">
        <v>8</v>
      </c>
      <c r="F139" s="1" t="s">
        <v>25</v>
      </c>
      <c r="G139" s="1" t="s">
        <v>15</v>
      </c>
      <c r="J139" s="34"/>
      <c r="K139" s="35"/>
      <c r="L139" s="35"/>
      <c r="M139" s="35"/>
      <c r="N139" s="36"/>
      <c r="O139" s="36"/>
      <c r="P139" s="22"/>
      <c r="S139" s="64"/>
      <c r="U139" s="45"/>
      <c r="W139" s="45"/>
      <c r="Y139" s="45"/>
      <c r="AC139" s="46"/>
      <c r="AD139" s="36"/>
      <c r="AE139" s="46"/>
      <c r="AF139" s="36"/>
      <c r="AG139" s="36"/>
      <c r="AI139" s="39"/>
      <c r="AJ139" s="22"/>
      <c r="AK139" s="22"/>
      <c r="AL139" s="22"/>
      <c r="AM139" s="31"/>
      <c r="AN139" s="22"/>
    </row>
    <row r="140" spans="2:40" ht="12.75">
      <c r="B140" s="1">
        <v>35535</v>
      </c>
      <c r="C140" s="33" t="s">
        <v>155</v>
      </c>
      <c r="E140" s="1" t="s">
        <v>156</v>
      </c>
      <c r="F140" s="1" t="s">
        <v>25</v>
      </c>
      <c r="G140" s="1" t="s">
        <v>15</v>
      </c>
      <c r="J140" s="34"/>
      <c r="K140" s="35"/>
      <c r="L140" s="35"/>
      <c r="M140" s="35"/>
      <c r="N140" s="36"/>
      <c r="O140" s="36"/>
      <c r="P140" s="22"/>
      <c r="U140" s="45"/>
      <c r="W140" s="45"/>
      <c r="AC140" s="46"/>
      <c r="AD140" s="36"/>
      <c r="AE140" s="46"/>
      <c r="AF140" s="36"/>
      <c r="AG140" s="36"/>
      <c r="AI140" s="39"/>
      <c r="AJ140" s="22"/>
      <c r="AK140" s="22"/>
      <c r="AL140" s="22"/>
      <c r="AM140" s="31"/>
      <c r="AN140" s="22"/>
    </row>
    <row r="141" spans="3:40" ht="12.75">
      <c r="C141" s="16" t="s">
        <v>168</v>
      </c>
      <c r="D141" s="15" t="s">
        <v>169</v>
      </c>
      <c r="E141" s="15" t="s">
        <v>41</v>
      </c>
      <c r="F141" s="15" t="s">
        <v>114</v>
      </c>
      <c r="G141" s="15" t="s">
        <v>163</v>
      </c>
      <c r="J141" s="34"/>
      <c r="K141" s="35"/>
      <c r="L141" s="35"/>
      <c r="M141" s="35"/>
      <c r="N141" s="36"/>
      <c r="O141" s="36"/>
      <c r="P141" s="22"/>
      <c r="R141" s="18"/>
      <c r="S141" s="47"/>
      <c r="T141" s="18"/>
      <c r="U141" s="45"/>
      <c r="V141" s="37"/>
      <c r="W141" s="45"/>
      <c r="Y141" s="45"/>
      <c r="AA141" s="45"/>
      <c r="AC141" s="65"/>
      <c r="AJ141" s="22"/>
      <c r="AK141" s="22"/>
      <c r="AL141" s="22"/>
      <c r="AM141" s="31"/>
      <c r="AN141" s="22"/>
    </row>
    <row r="142" spans="3:40" ht="12.75">
      <c r="C142" s="16" t="s">
        <v>170</v>
      </c>
      <c r="D142" s="15" t="s">
        <v>169</v>
      </c>
      <c r="E142" s="15" t="s">
        <v>41</v>
      </c>
      <c r="F142" s="15" t="s">
        <v>114</v>
      </c>
      <c r="G142" s="15" t="s">
        <v>163</v>
      </c>
      <c r="J142" s="34"/>
      <c r="K142" s="35"/>
      <c r="L142" s="35"/>
      <c r="M142" s="35"/>
      <c r="N142" s="36"/>
      <c r="O142" s="36"/>
      <c r="P142" s="22"/>
      <c r="R142" s="18"/>
      <c r="S142" s="47"/>
      <c r="T142" s="18"/>
      <c r="U142" s="45"/>
      <c r="V142" s="37"/>
      <c r="W142" s="45"/>
      <c r="Y142" s="45"/>
      <c r="AA142" s="45"/>
      <c r="AC142" s="65"/>
      <c r="AJ142" s="22"/>
      <c r="AK142" s="22"/>
      <c r="AL142" s="22"/>
      <c r="AM142" s="31"/>
      <c r="AN142" s="22"/>
    </row>
    <row r="143" spans="3:40" ht="12.75">
      <c r="C143" s="16" t="s">
        <v>171</v>
      </c>
      <c r="D143" s="15" t="s">
        <v>169</v>
      </c>
      <c r="E143" s="15" t="s">
        <v>8</v>
      </c>
      <c r="F143" s="15" t="s">
        <v>114</v>
      </c>
      <c r="G143" s="15" t="s">
        <v>163</v>
      </c>
      <c r="J143" s="34"/>
      <c r="K143" s="35"/>
      <c r="L143" s="35"/>
      <c r="M143" s="35"/>
      <c r="N143" s="36"/>
      <c r="O143" s="36"/>
      <c r="P143" s="22"/>
      <c r="R143" s="18"/>
      <c r="S143" s="47"/>
      <c r="T143" s="18"/>
      <c r="U143" s="45"/>
      <c r="V143" s="37"/>
      <c r="W143" s="45"/>
      <c r="Y143" s="45"/>
      <c r="AA143" s="45"/>
      <c r="AC143" s="65"/>
      <c r="AJ143" s="22"/>
      <c r="AK143" s="22"/>
      <c r="AL143" s="22"/>
      <c r="AM143" s="31"/>
      <c r="AN143" s="22"/>
    </row>
    <row r="144" spans="3:40" ht="12.75">
      <c r="C144" s="16" t="s">
        <v>172</v>
      </c>
      <c r="D144" s="15" t="s">
        <v>169</v>
      </c>
      <c r="E144" s="15" t="s">
        <v>8</v>
      </c>
      <c r="F144" s="15" t="s">
        <v>114</v>
      </c>
      <c r="G144" s="15" t="s">
        <v>163</v>
      </c>
      <c r="J144" s="34"/>
      <c r="K144" s="35"/>
      <c r="L144" s="35"/>
      <c r="M144" s="35"/>
      <c r="N144" s="36"/>
      <c r="O144" s="36"/>
      <c r="P144" s="22"/>
      <c r="R144" s="18"/>
      <c r="S144" s="47"/>
      <c r="T144" s="18"/>
      <c r="U144" s="45"/>
      <c r="V144" s="37"/>
      <c r="W144" s="45"/>
      <c r="Y144" s="45"/>
      <c r="AA144" s="45"/>
      <c r="AC144" s="65"/>
      <c r="AJ144" s="22"/>
      <c r="AK144" s="22"/>
      <c r="AL144" s="22"/>
      <c r="AM144" s="31"/>
      <c r="AN144" s="22"/>
    </row>
    <row r="145" spans="3:40" ht="12.75">
      <c r="C145" s="16" t="s">
        <v>162</v>
      </c>
      <c r="D145" s="15" t="s">
        <v>100</v>
      </c>
      <c r="E145" s="15" t="s">
        <v>8</v>
      </c>
      <c r="F145" s="15" t="s">
        <v>114</v>
      </c>
      <c r="G145" s="15" t="s">
        <v>163</v>
      </c>
      <c r="J145" s="34"/>
      <c r="K145" s="35"/>
      <c r="L145" s="35"/>
      <c r="M145" s="35"/>
      <c r="N145" s="36"/>
      <c r="O145" s="36"/>
      <c r="P145" s="22"/>
      <c r="R145" s="18"/>
      <c r="S145" s="47"/>
      <c r="T145" s="18"/>
      <c r="U145" s="45"/>
      <c r="V145" s="37"/>
      <c r="W145" s="45"/>
      <c r="Y145" s="45"/>
      <c r="AA145" s="45"/>
      <c r="AC145" s="65"/>
      <c r="AJ145" s="22"/>
      <c r="AK145" s="22"/>
      <c r="AL145" s="22"/>
      <c r="AM145" s="31"/>
      <c r="AN145" s="22"/>
    </row>
    <row r="146" spans="3:40" ht="12.75">
      <c r="C146" s="16" t="s">
        <v>164</v>
      </c>
      <c r="D146" s="15" t="s">
        <v>100</v>
      </c>
      <c r="E146" s="15" t="s">
        <v>8</v>
      </c>
      <c r="F146" s="15" t="s">
        <v>114</v>
      </c>
      <c r="G146" s="15" t="s">
        <v>163</v>
      </c>
      <c r="J146" s="34"/>
      <c r="K146" s="35"/>
      <c r="L146" s="35"/>
      <c r="M146" s="35"/>
      <c r="N146" s="36"/>
      <c r="O146" s="36"/>
      <c r="P146" s="22"/>
      <c r="R146" s="18"/>
      <c r="S146" s="47"/>
      <c r="T146" s="18"/>
      <c r="U146" s="45"/>
      <c r="V146" s="37"/>
      <c r="W146" s="45"/>
      <c r="Y146" s="45"/>
      <c r="AA146" s="45"/>
      <c r="AC146" s="65"/>
      <c r="AJ146" s="22"/>
      <c r="AK146" s="22"/>
      <c r="AL146" s="22"/>
      <c r="AM146" s="31"/>
      <c r="AN146" s="22"/>
    </row>
    <row r="147" spans="2:40" ht="12.75">
      <c r="B147" s="1">
        <v>35245</v>
      </c>
      <c r="C147" s="33" t="s">
        <v>34</v>
      </c>
      <c r="D147" s="1">
        <v>4</v>
      </c>
      <c r="E147" s="1" t="s">
        <v>8</v>
      </c>
      <c r="F147" s="1" t="s">
        <v>9</v>
      </c>
      <c r="G147" s="1" t="s">
        <v>15</v>
      </c>
      <c r="J147" s="34"/>
      <c r="K147" s="35"/>
      <c r="L147" s="35"/>
      <c r="M147" s="35"/>
      <c r="N147" s="36"/>
      <c r="O147" s="36"/>
      <c r="P147" s="22"/>
      <c r="S147" s="48"/>
      <c r="U147" s="47"/>
      <c r="W147" s="45"/>
      <c r="Y147" s="48"/>
      <c r="AA147" s="45"/>
      <c r="AJ147" s="22"/>
      <c r="AK147" s="22"/>
      <c r="AL147" s="22"/>
      <c r="AM147" s="31"/>
      <c r="AN147" s="22"/>
    </row>
  </sheetData>
  <mergeCells count="1">
    <mergeCell ref="P1:P2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M83"/>
  <sheetViews>
    <sheetView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P11" sqref="P11"/>
    </sheetView>
  </sheetViews>
  <sheetFormatPr defaultColWidth="9.140625" defaultRowHeight="12.75"/>
  <cols>
    <col min="1" max="1" width="4.57421875" style="183" customWidth="1"/>
    <col min="2" max="2" width="7.7109375" style="1" customWidth="1"/>
    <col min="3" max="3" width="18.421875" style="33" customWidth="1"/>
    <col min="4" max="4" width="7.7109375" style="198" customWidth="1"/>
    <col min="5" max="5" width="6.28125" style="189" customWidth="1"/>
    <col min="6" max="12" width="6.28125" style="1" customWidth="1"/>
    <col min="13" max="16384" width="7.7109375" style="11" customWidth="1"/>
  </cols>
  <sheetData>
    <row r="1" spans="2:39" ht="11.25">
      <c r="B1" s="2"/>
      <c r="C1" s="3" t="s">
        <v>0</v>
      </c>
      <c r="D1" s="184" t="s">
        <v>273</v>
      </c>
      <c r="E1" s="185">
        <v>100</v>
      </c>
      <c r="F1" s="4">
        <v>300</v>
      </c>
      <c r="G1" s="4">
        <v>500</v>
      </c>
      <c r="H1" s="4">
        <v>1000</v>
      </c>
      <c r="I1" s="4">
        <v>1500</v>
      </c>
      <c r="J1" s="4">
        <v>3000</v>
      </c>
      <c r="K1" s="4">
        <v>5000</v>
      </c>
      <c r="L1" s="2" t="s">
        <v>274</v>
      </c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</row>
    <row r="2" spans="2:39" ht="11.25">
      <c r="B2" s="2"/>
      <c r="C2" s="3"/>
      <c r="D2" s="184" t="s">
        <v>275</v>
      </c>
      <c r="E2" s="185" t="s">
        <v>276</v>
      </c>
      <c r="F2" s="185" t="s">
        <v>276</v>
      </c>
      <c r="G2" s="185" t="s">
        <v>276</v>
      </c>
      <c r="H2" s="185" t="s">
        <v>276</v>
      </c>
      <c r="I2" s="185" t="s">
        <v>276</v>
      </c>
      <c r="J2" s="185" t="s">
        <v>276</v>
      </c>
      <c r="K2" s="185" t="s">
        <v>276</v>
      </c>
      <c r="L2" s="2" t="s">
        <v>276</v>
      </c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</row>
    <row r="3" spans="1:39" s="14" customFormat="1" ht="11.25">
      <c r="A3" s="183">
        <v>1</v>
      </c>
      <c r="B3" s="1">
        <v>35597</v>
      </c>
      <c r="C3" s="62" t="s">
        <v>106</v>
      </c>
      <c r="D3" s="186">
        <f aca="true" t="shared" si="0" ref="D3:D34">SUM(E3:L3)</f>
        <v>246</v>
      </c>
      <c r="E3" s="187">
        <f>30+11+6</f>
        <v>47</v>
      </c>
      <c r="F3" s="15">
        <f>30+17+30</f>
        <v>77</v>
      </c>
      <c r="G3" s="15">
        <f>23+2+7+4+3+1+13+3+12+8</f>
        <v>76</v>
      </c>
      <c r="H3" s="17">
        <f>30+3+3</f>
        <v>36</v>
      </c>
      <c r="I3" s="17"/>
      <c r="J3" s="17"/>
      <c r="K3" s="17"/>
      <c r="L3" s="15">
        <f>10</f>
        <v>10</v>
      </c>
      <c r="M3" s="22"/>
      <c r="N3" s="31"/>
      <c r="O3" s="22"/>
      <c r="P3" s="31"/>
      <c r="Q3" s="22"/>
      <c r="R3" s="32"/>
      <c r="S3" s="31"/>
      <c r="T3" s="32"/>
      <c r="U3" s="188"/>
      <c r="V3" s="188"/>
      <c r="W3" s="188"/>
      <c r="X3" s="188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</row>
    <row r="4" spans="1:39" s="14" customFormat="1" ht="11.25">
      <c r="A4" s="183">
        <v>2</v>
      </c>
      <c r="B4" s="1">
        <v>35616</v>
      </c>
      <c r="C4" s="33" t="s">
        <v>124</v>
      </c>
      <c r="D4" s="186">
        <f t="shared" si="0"/>
        <v>226</v>
      </c>
      <c r="E4" s="187">
        <f>30+30</f>
        <v>60</v>
      </c>
      <c r="F4" s="15">
        <f>4+30</f>
        <v>34</v>
      </c>
      <c r="G4" s="15">
        <f>30+9+21+1+1</f>
        <v>62</v>
      </c>
      <c r="H4" s="17">
        <f>30</f>
        <v>30</v>
      </c>
      <c r="I4" s="17"/>
      <c r="J4" s="17"/>
      <c r="K4" s="17"/>
      <c r="L4" s="15">
        <f>10+10+10+10</f>
        <v>40</v>
      </c>
      <c r="M4" s="22"/>
      <c r="N4" s="31"/>
      <c r="O4" s="22"/>
      <c r="P4" s="31"/>
      <c r="Q4" s="22"/>
      <c r="R4" s="32"/>
      <c r="S4" s="31"/>
      <c r="T4" s="32"/>
      <c r="U4" s="188"/>
      <c r="V4" s="188"/>
      <c r="W4" s="188"/>
      <c r="X4" s="188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</row>
    <row r="5" spans="1:39" s="14" customFormat="1" ht="11.25">
      <c r="A5" s="183">
        <v>3</v>
      </c>
      <c r="B5" s="1">
        <v>35593</v>
      </c>
      <c r="C5" s="53" t="s">
        <v>118</v>
      </c>
      <c r="D5" s="186">
        <f t="shared" si="0"/>
        <v>225</v>
      </c>
      <c r="E5" s="187">
        <f>23+15+9+6+5</f>
        <v>58</v>
      </c>
      <c r="F5" s="15">
        <f>16+30+3+23</f>
        <v>72</v>
      </c>
      <c r="G5" s="15">
        <f>5+8+7+12+4+6</f>
        <v>42</v>
      </c>
      <c r="H5" s="15">
        <f>20+5+18</f>
        <v>43</v>
      </c>
      <c r="I5" s="17"/>
      <c r="J5" s="17"/>
      <c r="K5" s="17"/>
      <c r="L5" s="15">
        <f>10</f>
        <v>10</v>
      </c>
      <c r="M5" s="22"/>
      <c r="N5" s="31"/>
      <c r="O5" s="22"/>
      <c r="P5" s="31"/>
      <c r="Q5" s="22"/>
      <c r="R5" s="32"/>
      <c r="S5" s="31"/>
      <c r="T5" s="32"/>
      <c r="U5" s="188"/>
      <c r="V5" s="188"/>
      <c r="W5" s="188"/>
      <c r="X5" s="188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</row>
    <row r="6" spans="1:39" s="14" customFormat="1" ht="11.25">
      <c r="A6" s="183">
        <v>4</v>
      </c>
      <c r="B6" s="1">
        <v>35579</v>
      </c>
      <c r="C6" s="33" t="s">
        <v>50</v>
      </c>
      <c r="D6" s="186">
        <f t="shared" si="0"/>
        <v>206</v>
      </c>
      <c r="E6" s="187">
        <f>30</f>
        <v>30</v>
      </c>
      <c r="F6" s="15">
        <f>30</f>
        <v>30</v>
      </c>
      <c r="G6" s="15">
        <f>5+17+9+7+3+4+3</f>
        <v>48</v>
      </c>
      <c r="H6" s="15">
        <f>22+13+27</f>
        <v>62</v>
      </c>
      <c r="I6" s="17">
        <f>20+6</f>
        <v>26</v>
      </c>
      <c r="J6" s="17"/>
      <c r="K6" s="17"/>
      <c r="L6" s="15">
        <f>10</f>
        <v>10</v>
      </c>
      <c r="M6" s="22"/>
      <c r="N6" s="31"/>
      <c r="O6" s="22"/>
      <c r="P6" s="31"/>
      <c r="Q6" s="22"/>
      <c r="R6" s="32"/>
      <c r="S6" s="31"/>
      <c r="T6" s="32"/>
      <c r="U6" s="188"/>
      <c r="V6" s="188"/>
      <c r="W6" s="188"/>
      <c r="X6" s="188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</row>
    <row r="7" spans="1:39" s="14" customFormat="1" ht="11.25">
      <c r="A7" s="183">
        <v>5</v>
      </c>
      <c r="B7" s="1">
        <v>35582</v>
      </c>
      <c r="C7" s="33" t="s">
        <v>72</v>
      </c>
      <c r="D7" s="186">
        <f t="shared" si="0"/>
        <v>201</v>
      </c>
      <c r="E7" s="187">
        <f>30</f>
        <v>30</v>
      </c>
      <c r="F7" s="15">
        <f>30+15+2</f>
        <v>47</v>
      </c>
      <c r="G7" s="15">
        <f>2+10+19+5+7+4+2+8</f>
        <v>57</v>
      </c>
      <c r="H7" s="15">
        <f>8+4+17+10+2+6</f>
        <v>47</v>
      </c>
      <c r="I7" s="17"/>
      <c r="J7" s="17"/>
      <c r="K7" s="17"/>
      <c r="L7" s="15">
        <f>10+10</f>
        <v>20</v>
      </c>
      <c r="M7" s="22"/>
      <c r="N7" s="31"/>
      <c r="O7" s="22"/>
      <c r="P7" s="31"/>
      <c r="Q7" s="22"/>
      <c r="R7" s="32"/>
      <c r="S7" s="31"/>
      <c r="T7" s="32"/>
      <c r="U7" s="188"/>
      <c r="V7" s="188"/>
      <c r="W7" s="188"/>
      <c r="X7" s="188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</row>
    <row r="8" spans="1:39" s="14" customFormat="1" ht="11.25">
      <c r="A8" s="183">
        <v>6</v>
      </c>
      <c r="B8" s="1">
        <v>35590</v>
      </c>
      <c r="C8" s="33" t="s">
        <v>116</v>
      </c>
      <c r="D8" s="186">
        <f t="shared" si="0"/>
        <v>195</v>
      </c>
      <c r="E8" s="189"/>
      <c r="F8" s="1">
        <f>30</f>
        <v>30</v>
      </c>
      <c r="G8" s="1">
        <f>12+19+6+2+15+20+5+1+2</f>
        <v>82</v>
      </c>
      <c r="H8" s="1">
        <f>23+30</f>
        <v>53</v>
      </c>
      <c r="I8" s="1"/>
      <c r="J8" s="1"/>
      <c r="K8" s="1"/>
      <c r="L8" s="1">
        <f>10+10+10</f>
        <v>30</v>
      </c>
      <c r="M8" s="22"/>
      <c r="N8" s="31"/>
      <c r="O8" s="22"/>
      <c r="P8" s="31"/>
      <c r="Q8" s="22"/>
      <c r="R8" s="32"/>
      <c r="S8" s="31"/>
      <c r="T8" s="32"/>
      <c r="U8" s="188"/>
      <c r="V8" s="188"/>
      <c r="W8" s="188"/>
      <c r="X8" s="188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</row>
    <row r="9" spans="1:39" s="14" customFormat="1" ht="11.25">
      <c r="A9" s="183">
        <v>7</v>
      </c>
      <c r="B9" s="1">
        <v>35615</v>
      </c>
      <c r="C9" s="33" t="s">
        <v>137</v>
      </c>
      <c r="D9" s="186">
        <f t="shared" si="0"/>
        <v>191</v>
      </c>
      <c r="E9" s="187">
        <f>2+30+4</f>
        <v>36</v>
      </c>
      <c r="F9" s="15">
        <f>1+25+30+3</f>
        <v>59</v>
      </c>
      <c r="G9" s="15">
        <f>23+2+10+11+2+8</f>
        <v>56</v>
      </c>
      <c r="H9" s="17"/>
      <c r="I9" s="17"/>
      <c r="J9" s="17"/>
      <c r="K9" s="17"/>
      <c r="L9" s="15">
        <f>10+10+10+10</f>
        <v>40</v>
      </c>
      <c r="M9" s="22"/>
      <c r="N9" s="31"/>
      <c r="O9" s="22"/>
      <c r="P9" s="31"/>
      <c r="Q9" s="22"/>
      <c r="R9" s="32"/>
      <c r="S9" s="31"/>
      <c r="T9" s="32"/>
      <c r="U9" s="188"/>
      <c r="V9" s="188"/>
      <c r="W9" s="188"/>
      <c r="X9" s="188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</row>
    <row r="10" spans="1:39" s="14" customFormat="1" ht="11.25">
      <c r="A10" s="183">
        <v>8</v>
      </c>
      <c r="B10" s="1">
        <v>35560</v>
      </c>
      <c r="C10" s="33" t="s">
        <v>60</v>
      </c>
      <c r="D10" s="186">
        <f t="shared" si="0"/>
        <v>177</v>
      </c>
      <c r="E10" s="189"/>
      <c r="F10" s="1">
        <f>30</f>
        <v>30</v>
      </c>
      <c r="G10" s="1">
        <f>8+3+25+3+1+8</f>
        <v>48</v>
      </c>
      <c r="H10" s="1">
        <f>30+4</f>
        <v>34</v>
      </c>
      <c r="I10" s="1">
        <f>20+15+10</f>
        <v>45</v>
      </c>
      <c r="J10" s="1"/>
      <c r="K10" s="1"/>
      <c r="L10" s="1">
        <f>10+10</f>
        <v>20</v>
      </c>
      <c r="M10" s="22"/>
      <c r="N10" s="31"/>
      <c r="O10" s="22"/>
      <c r="P10" s="31"/>
      <c r="Q10" s="22"/>
      <c r="R10" s="32"/>
      <c r="S10" s="31"/>
      <c r="T10" s="32"/>
      <c r="U10" s="188"/>
      <c r="V10" s="188"/>
      <c r="W10" s="188"/>
      <c r="X10" s="188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</row>
    <row r="11" spans="1:39" s="14" customFormat="1" ht="11.25">
      <c r="A11" s="183">
        <v>9</v>
      </c>
      <c r="B11" s="1">
        <v>35587</v>
      </c>
      <c r="C11" s="53" t="s">
        <v>148</v>
      </c>
      <c r="D11" s="186">
        <f t="shared" si="0"/>
        <v>173</v>
      </c>
      <c r="E11" s="187">
        <f>20+21</f>
        <v>41</v>
      </c>
      <c r="F11" s="15">
        <f>10+30</f>
        <v>40</v>
      </c>
      <c r="G11" s="15">
        <f>18+2+3+23</f>
        <v>46</v>
      </c>
      <c r="H11" s="17">
        <f>6+30</f>
        <v>36</v>
      </c>
      <c r="I11" s="17"/>
      <c r="J11" s="17"/>
      <c r="K11" s="17"/>
      <c r="L11" s="15">
        <f>10</f>
        <v>10</v>
      </c>
      <c r="M11" s="22"/>
      <c r="N11" s="31"/>
      <c r="O11" s="32"/>
      <c r="P11" s="31"/>
      <c r="Q11" s="22"/>
      <c r="R11" s="32"/>
      <c r="S11" s="31"/>
      <c r="T11" s="32"/>
      <c r="U11" s="188"/>
      <c r="V11" s="188"/>
      <c r="W11" s="188"/>
      <c r="X11" s="188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</row>
    <row r="12" spans="1:39" s="14" customFormat="1" ht="11.25">
      <c r="A12" s="183">
        <v>10</v>
      </c>
      <c r="B12" s="1">
        <v>35625</v>
      </c>
      <c r="C12" s="33" t="s">
        <v>125</v>
      </c>
      <c r="D12" s="186">
        <f t="shared" si="0"/>
        <v>172</v>
      </c>
      <c r="E12" s="189">
        <f>6+23+7</f>
        <v>36</v>
      </c>
      <c r="F12" s="1">
        <f>30+2</f>
        <v>32</v>
      </c>
      <c r="G12" s="1">
        <f>5+6+18+1+29+15</f>
        <v>74</v>
      </c>
      <c r="H12" s="1"/>
      <c r="I12" s="1"/>
      <c r="J12" s="1"/>
      <c r="K12" s="1"/>
      <c r="L12" s="1">
        <f>10+10+10</f>
        <v>30</v>
      </c>
      <c r="M12" s="22"/>
      <c r="N12" s="31"/>
      <c r="O12" s="22"/>
      <c r="P12" s="31"/>
      <c r="Q12" s="22"/>
      <c r="R12" s="32"/>
      <c r="S12" s="31"/>
      <c r="T12" s="32"/>
      <c r="U12" s="188"/>
      <c r="V12" s="188"/>
      <c r="W12" s="188"/>
      <c r="X12" s="188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</row>
    <row r="13" spans="1:39" s="14" customFormat="1" ht="11.25">
      <c r="A13" s="183">
        <v>11</v>
      </c>
      <c r="B13" s="1">
        <v>35585</v>
      </c>
      <c r="C13" s="53" t="s">
        <v>142</v>
      </c>
      <c r="D13" s="186">
        <f t="shared" si="0"/>
        <v>167</v>
      </c>
      <c r="E13" s="187">
        <f>13+3</f>
        <v>16</v>
      </c>
      <c r="F13" s="15">
        <f>14+25+17</f>
        <v>56</v>
      </c>
      <c r="G13" s="15">
        <f>30+7</f>
        <v>37</v>
      </c>
      <c r="H13" s="15">
        <f>26+22</f>
        <v>48</v>
      </c>
      <c r="I13" s="17"/>
      <c r="J13" s="17"/>
      <c r="K13" s="17"/>
      <c r="L13" s="15">
        <f>10</f>
        <v>10</v>
      </c>
      <c r="M13" s="22"/>
      <c r="N13" s="31"/>
      <c r="O13" s="22"/>
      <c r="P13" s="31"/>
      <c r="Q13" s="22"/>
      <c r="R13" s="32"/>
      <c r="S13" s="31"/>
      <c r="T13" s="32"/>
      <c r="U13" s="188"/>
      <c r="V13" s="188"/>
      <c r="W13" s="188"/>
      <c r="X13" s="188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</row>
    <row r="14" spans="1:39" s="14" customFormat="1" ht="11.25">
      <c r="A14" s="183">
        <v>12</v>
      </c>
      <c r="B14" s="14">
        <v>35545</v>
      </c>
      <c r="C14" s="16" t="s">
        <v>52</v>
      </c>
      <c r="D14" s="186">
        <f t="shared" si="0"/>
        <v>164</v>
      </c>
      <c r="E14" s="190">
        <f>17+7+12</f>
        <v>36</v>
      </c>
      <c r="F14" s="191">
        <f>5+3+2+5</f>
        <v>15</v>
      </c>
      <c r="G14" s="191">
        <f>5+14+6+7</f>
        <v>32</v>
      </c>
      <c r="H14" s="192">
        <f>18</f>
        <v>18</v>
      </c>
      <c r="I14" s="191">
        <f>23+23+2+15</f>
        <v>63</v>
      </c>
      <c r="J14" s="193"/>
      <c r="K14" s="193"/>
      <c r="L14" s="15"/>
      <c r="M14" s="22"/>
      <c r="N14" s="31"/>
      <c r="O14" s="22"/>
      <c r="P14" s="31"/>
      <c r="Q14" s="22"/>
      <c r="R14" s="32"/>
      <c r="S14" s="31"/>
      <c r="T14" s="32"/>
      <c r="U14" s="188"/>
      <c r="V14" s="188"/>
      <c r="W14" s="188"/>
      <c r="X14" s="188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</row>
    <row r="15" spans="1:39" s="14" customFormat="1" ht="11.25">
      <c r="A15" s="183">
        <v>13</v>
      </c>
      <c r="B15" s="1">
        <v>35602</v>
      </c>
      <c r="C15" s="53" t="s">
        <v>107</v>
      </c>
      <c r="D15" s="186">
        <f t="shared" si="0"/>
        <v>162</v>
      </c>
      <c r="E15" s="1">
        <f>7+3+3+13</f>
        <v>26</v>
      </c>
      <c r="F15" s="1">
        <f>3+28+11+1+6</f>
        <v>49</v>
      </c>
      <c r="G15" s="1">
        <f>11+10+14+6+3</f>
        <v>44</v>
      </c>
      <c r="H15" s="1">
        <f>30+9+4</f>
        <v>43</v>
      </c>
      <c r="I15" s="1"/>
      <c r="J15" s="44"/>
      <c r="K15" s="44"/>
      <c r="M15" s="22"/>
      <c r="N15" s="31"/>
      <c r="O15" s="22"/>
      <c r="P15" s="31"/>
      <c r="Q15" s="22"/>
      <c r="R15" s="32"/>
      <c r="S15" s="31"/>
      <c r="T15" s="32"/>
      <c r="U15" s="188"/>
      <c r="V15" s="188"/>
      <c r="W15" s="188"/>
      <c r="X15" s="188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</row>
    <row r="16" spans="1:39" s="14" customFormat="1" ht="11.25">
      <c r="A16" s="183">
        <v>14</v>
      </c>
      <c r="B16" s="1">
        <v>35604</v>
      </c>
      <c r="C16" s="53" t="s">
        <v>122</v>
      </c>
      <c r="D16" s="186">
        <f t="shared" si="0"/>
        <v>159</v>
      </c>
      <c r="E16" s="1">
        <f>14</f>
        <v>14</v>
      </c>
      <c r="F16" s="1">
        <f>14+30</f>
        <v>44</v>
      </c>
      <c r="G16" s="1">
        <f>6+12+1+5+4+4+3+6</f>
        <v>41</v>
      </c>
      <c r="H16" s="1">
        <f>20+30</f>
        <v>50</v>
      </c>
      <c r="I16" s="1"/>
      <c r="J16" s="1"/>
      <c r="K16" s="1"/>
      <c r="L16" s="1">
        <f>10</f>
        <v>10</v>
      </c>
      <c r="M16" s="22"/>
      <c r="N16" s="31"/>
      <c r="O16" s="22"/>
      <c r="P16" s="31"/>
      <c r="Q16" s="22"/>
      <c r="R16" s="32"/>
      <c r="S16" s="31"/>
      <c r="T16" s="32"/>
      <c r="U16" s="188"/>
      <c r="V16" s="188"/>
      <c r="W16" s="188"/>
      <c r="X16" s="188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</row>
    <row r="17" spans="1:39" s="14" customFormat="1" ht="11.25">
      <c r="A17" s="183">
        <v>15</v>
      </c>
      <c r="B17" s="14">
        <v>35552</v>
      </c>
      <c r="C17" s="16" t="s">
        <v>101</v>
      </c>
      <c r="D17" s="186">
        <f t="shared" si="0"/>
        <v>157</v>
      </c>
      <c r="E17" s="187">
        <f>10+17+7+12</f>
        <v>46</v>
      </c>
      <c r="F17" s="15">
        <f>18+3+1+4</f>
        <v>26</v>
      </c>
      <c r="G17" s="15">
        <f>7+1+5+12+2+5+14</f>
        <v>46</v>
      </c>
      <c r="H17" s="15">
        <f>8+15+16</f>
        <v>39</v>
      </c>
      <c r="I17" s="17"/>
      <c r="J17" s="17"/>
      <c r="K17" s="17"/>
      <c r="L17" s="17"/>
      <c r="M17" s="22"/>
      <c r="N17" s="31"/>
      <c r="O17" s="22"/>
      <c r="P17" s="31"/>
      <c r="Q17" s="22"/>
      <c r="R17" s="32"/>
      <c r="S17" s="31"/>
      <c r="T17" s="32"/>
      <c r="U17" s="188"/>
      <c r="V17" s="188"/>
      <c r="W17" s="188"/>
      <c r="X17" s="188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</row>
    <row r="18" spans="1:39" s="14" customFormat="1" ht="11.25">
      <c r="A18" s="183">
        <v>16</v>
      </c>
      <c r="B18" s="1">
        <v>35575</v>
      </c>
      <c r="C18" s="33" t="s">
        <v>113</v>
      </c>
      <c r="D18" s="186">
        <f t="shared" si="0"/>
        <v>157</v>
      </c>
      <c r="E18" s="187">
        <f>8+11</f>
        <v>19</v>
      </c>
      <c r="F18" s="15">
        <f>12+4+11+14+3</f>
        <v>44</v>
      </c>
      <c r="G18" s="15">
        <f>11+22+14</f>
        <v>47</v>
      </c>
      <c r="H18" s="15">
        <f>28+1+18</f>
        <v>47</v>
      </c>
      <c r="I18" s="17"/>
      <c r="J18" s="17"/>
      <c r="K18" s="1"/>
      <c r="L18" s="17"/>
      <c r="M18" s="22"/>
      <c r="N18" s="31"/>
      <c r="O18" s="22"/>
      <c r="P18" s="31"/>
      <c r="Q18" s="22"/>
      <c r="R18" s="32"/>
      <c r="S18" s="31"/>
      <c r="T18" s="32"/>
      <c r="U18" s="188"/>
      <c r="V18" s="188"/>
      <c r="W18" s="188"/>
      <c r="X18" s="188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</row>
    <row r="19" spans="1:39" s="14" customFormat="1" ht="11.25">
      <c r="A19" s="183">
        <v>17</v>
      </c>
      <c r="B19" s="1">
        <v>35548</v>
      </c>
      <c r="C19" s="33" t="s">
        <v>54</v>
      </c>
      <c r="D19" s="186">
        <f t="shared" si="0"/>
        <v>154</v>
      </c>
      <c r="E19" s="187">
        <f>13</f>
        <v>13</v>
      </c>
      <c r="F19" s="15">
        <f>16+3+6</f>
        <v>25</v>
      </c>
      <c r="G19" s="15">
        <f>7+6+4+6+3+4+5</f>
        <v>35</v>
      </c>
      <c r="H19" s="15">
        <f>6+10+15+3</f>
        <v>34</v>
      </c>
      <c r="I19" s="15">
        <f>19+10+8</f>
        <v>37</v>
      </c>
      <c r="J19" s="17"/>
      <c r="K19" s="17"/>
      <c r="L19" s="15">
        <f>10</f>
        <v>10</v>
      </c>
      <c r="M19" s="22"/>
      <c r="N19" s="31"/>
      <c r="O19" s="22"/>
      <c r="P19" s="31"/>
      <c r="Q19" s="22"/>
      <c r="R19" s="32"/>
      <c r="S19" s="31"/>
      <c r="T19" s="32"/>
      <c r="U19" s="188"/>
      <c r="V19" s="188"/>
      <c r="W19" s="188"/>
      <c r="X19" s="188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</row>
    <row r="20" spans="1:39" s="14" customFormat="1" ht="11.25">
      <c r="A20" s="183">
        <v>18</v>
      </c>
      <c r="B20" s="15">
        <v>35633</v>
      </c>
      <c r="C20" s="16" t="s">
        <v>135</v>
      </c>
      <c r="D20" s="186">
        <f t="shared" si="0"/>
        <v>152</v>
      </c>
      <c r="E20" s="189">
        <f>30+2+5</f>
        <v>37</v>
      </c>
      <c r="F20" s="1">
        <f>9+23+26</f>
        <v>58</v>
      </c>
      <c r="G20" s="1">
        <f>3+4+5+1+14</f>
        <v>27</v>
      </c>
      <c r="H20" s="1"/>
      <c r="I20" s="1"/>
      <c r="J20" s="1"/>
      <c r="K20" s="1"/>
      <c r="L20" s="1">
        <f>10+10+10</f>
        <v>30</v>
      </c>
      <c r="M20" s="22"/>
      <c r="N20" s="31"/>
      <c r="O20" s="22"/>
      <c r="P20" s="31"/>
      <c r="Q20" s="22"/>
      <c r="R20" s="32"/>
      <c r="S20" s="31"/>
      <c r="T20" s="32"/>
      <c r="U20" s="188"/>
      <c r="V20" s="188"/>
      <c r="W20" s="188"/>
      <c r="X20" s="188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</row>
    <row r="21" spans="1:39" s="14" customFormat="1" ht="11.25">
      <c r="A21" s="183">
        <v>19</v>
      </c>
      <c r="B21" s="14">
        <v>35542</v>
      </c>
      <c r="C21" s="16" t="s">
        <v>81</v>
      </c>
      <c r="D21" s="186">
        <f t="shared" si="0"/>
        <v>151</v>
      </c>
      <c r="E21" s="187">
        <f>3+19+6</f>
        <v>28</v>
      </c>
      <c r="F21" s="15">
        <f>19+8</f>
        <v>27</v>
      </c>
      <c r="G21" s="15">
        <f>8+2+11+2+5+2+4</f>
        <v>34</v>
      </c>
      <c r="H21" s="15">
        <f>7+5+7+24</f>
        <v>43</v>
      </c>
      <c r="I21" s="17">
        <f>9</f>
        <v>9</v>
      </c>
      <c r="J21" s="17"/>
      <c r="K21" s="17"/>
      <c r="L21" s="17">
        <f>10</f>
        <v>10</v>
      </c>
      <c r="M21" s="22"/>
      <c r="N21" s="31"/>
      <c r="O21" s="22"/>
      <c r="P21" s="31"/>
      <c r="Q21" s="22"/>
      <c r="R21" s="32"/>
      <c r="S21" s="31"/>
      <c r="T21" s="32"/>
      <c r="U21" s="188"/>
      <c r="V21" s="188"/>
      <c r="W21" s="188"/>
      <c r="X21" s="188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</row>
    <row r="22" spans="1:39" s="14" customFormat="1" ht="11.25">
      <c r="A22" s="183">
        <v>20</v>
      </c>
      <c r="B22" s="1">
        <v>35620</v>
      </c>
      <c r="C22" s="33" t="s">
        <v>144</v>
      </c>
      <c r="D22" s="186">
        <f t="shared" si="0"/>
        <v>147</v>
      </c>
      <c r="E22" s="1">
        <f>30</f>
        <v>30</v>
      </c>
      <c r="F22" s="1">
        <f>10+15</f>
        <v>25</v>
      </c>
      <c r="G22" s="1">
        <f>24+7+23+8</f>
        <v>62</v>
      </c>
      <c r="H22" s="1"/>
      <c r="I22" s="1"/>
      <c r="J22" s="194"/>
      <c r="K22" s="194"/>
      <c r="L22" s="15">
        <f>20+10</f>
        <v>30</v>
      </c>
      <c r="M22" s="22"/>
      <c r="N22" s="31"/>
      <c r="O22" s="32"/>
      <c r="P22" s="31"/>
      <c r="Q22" s="22"/>
      <c r="R22" s="32"/>
      <c r="S22" s="31"/>
      <c r="T22" s="32"/>
      <c r="U22" s="188"/>
      <c r="V22" s="188"/>
      <c r="W22" s="188"/>
      <c r="X22" s="188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</row>
    <row r="23" spans="1:39" s="14" customFormat="1" ht="11.25">
      <c r="A23" s="183">
        <v>21</v>
      </c>
      <c r="B23" s="1">
        <v>35624</v>
      </c>
      <c r="C23" s="33" t="s">
        <v>143</v>
      </c>
      <c r="D23" s="186">
        <f t="shared" si="0"/>
        <v>140</v>
      </c>
      <c r="E23" s="1">
        <f>30</f>
        <v>30</v>
      </c>
      <c r="F23" s="1">
        <f>30+19</f>
        <v>49</v>
      </c>
      <c r="G23" s="1">
        <f>1+30</f>
        <v>31</v>
      </c>
      <c r="H23" s="1"/>
      <c r="I23" s="1"/>
      <c r="J23" s="37"/>
      <c r="K23" s="37"/>
      <c r="L23" s="1">
        <f>10+20</f>
        <v>30</v>
      </c>
      <c r="M23" s="22"/>
      <c r="N23" s="31"/>
      <c r="O23" s="22"/>
      <c r="P23" s="31"/>
      <c r="Q23" s="22"/>
      <c r="R23" s="32"/>
      <c r="S23" s="31"/>
      <c r="T23" s="32"/>
      <c r="U23" s="188"/>
      <c r="V23" s="188"/>
      <c r="W23" s="188"/>
      <c r="X23" s="188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</row>
    <row r="24" spans="1:39" s="14" customFormat="1" ht="11.25">
      <c r="A24" s="183">
        <v>22</v>
      </c>
      <c r="B24" s="1">
        <v>35609</v>
      </c>
      <c r="C24" s="33" t="s">
        <v>95</v>
      </c>
      <c r="D24" s="186">
        <f t="shared" si="0"/>
        <v>127</v>
      </c>
      <c r="E24" s="187"/>
      <c r="F24" s="15">
        <f>17</f>
        <v>17</v>
      </c>
      <c r="G24" s="15">
        <f>20+30+30</f>
        <v>80</v>
      </c>
      <c r="H24" s="17"/>
      <c r="I24" s="17"/>
      <c r="J24" s="17"/>
      <c r="K24" s="17"/>
      <c r="L24" s="15">
        <f>10+10+10</f>
        <v>30</v>
      </c>
      <c r="M24" s="22"/>
      <c r="N24" s="31"/>
      <c r="O24" s="32"/>
      <c r="P24" s="31"/>
      <c r="Q24" s="22"/>
      <c r="R24" s="32"/>
      <c r="S24" s="31"/>
      <c r="T24" s="32"/>
      <c r="U24" s="188"/>
      <c r="V24" s="188"/>
      <c r="W24" s="188"/>
      <c r="X24" s="188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</row>
    <row r="25" spans="1:39" s="14" customFormat="1" ht="11.25">
      <c r="A25" s="183">
        <v>23</v>
      </c>
      <c r="B25" s="1">
        <v>35622</v>
      </c>
      <c r="C25" s="33" t="s">
        <v>126</v>
      </c>
      <c r="D25" s="186">
        <f t="shared" si="0"/>
        <v>125</v>
      </c>
      <c r="E25" s="189">
        <f>23+5+13</f>
        <v>41</v>
      </c>
      <c r="F25" s="1">
        <f>30+8</f>
        <v>38</v>
      </c>
      <c r="G25" s="1">
        <f>18+2+16</f>
        <v>36</v>
      </c>
      <c r="H25" s="1"/>
      <c r="I25" s="1"/>
      <c r="J25" s="1"/>
      <c r="K25" s="1"/>
      <c r="L25" s="1">
        <f>10</f>
        <v>10</v>
      </c>
      <c r="M25" s="22"/>
      <c r="N25" s="31"/>
      <c r="O25" s="22"/>
      <c r="P25" s="31"/>
      <c r="Q25" s="22"/>
      <c r="R25" s="32"/>
      <c r="S25" s="31"/>
      <c r="T25" s="32"/>
      <c r="U25" s="188"/>
      <c r="V25" s="188"/>
      <c r="W25" s="188"/>
      <c r="X25" s="188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</row>
    <row r="26" spans="1:39" s="14" customFormat="1" ht="11.25">
      <c r="A26" s="183">
        <v>24</v>
      </c>
      <c r="B26" s="15">
        <v>35526</v>
      </c>
      <c r="C26" s="16" t="s">
        <v>31</v>
      </c>
      <c r="D26" s="186">
        <f t="shared" si="0"/>
        <v>116</v>
      </c>
      <c r="E26" s="187">
        <f>8+11+4</f>
        <v>23</v>
      </c>
      <c r="F26" s="15">
        <f>4+7+1</f>
        <v>12</v>
      </c>
      <c r="G26" s="15">
        <f>2+11+4</f>
        <v>17</v>
      </c>
      <c r="H26" s="15">
        <f>1+17+5</f>
        <v>23</v>
      </c>
      <c r="I26" s="15">
        <f>20+21</f>
        <v>41</v>
      </c>
      <c r="J26" s="17"/>
      <c r="K26" s="17"/>
      <c r="L26" s="17"/>
      <c r="M26" s="22"/>
      <c r="N26" s="31"/>
      <c r="O26" s="22"/>
      <c r="P26" s="31"/>
      <c r="Q26" s="22"/>
      <c r="R26" s="32"/>
      <c r="S26" s="31"/>
      <c r="T26" s="32"/>
      <c r="U26" s="188"/>
      <c r="V26" s="188"/>
      <c r="W26" s="188"/>
      <c r="X26" s="188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</row>
    <row r="27" spans="1:39" s="14" customFormat="1" ht="11.25">
      <c r="A27" s="183">
        <v>25</v>
      </c>
      <c r="B27" s="1">
        <v>35578</v>
      </c>
      <c r="C27" s="33" t="s">
        <v>82</v>
      </c>
      <c r="D27" s="186">
        <f t="shared" si="0"/>
        <v>116</v>
      </c>
      <c r="E27" s="187"/>
      <c r="F27" s="15">
        <f>30</f>
        <v>30</v>
      </c>
      <c r="G27" s="15">
        <f>14+1+8+3+12+2</f>
        <v>40</v>
      </c>
      <c r="H27" s="15">
        <f>17+9+10</f>
        <v>36</v>
      </c>
      <c r="I27" s="17"/>
      <c r="J27" s="17"/>
      <c r="K27" s="17"/>
      <c r="L27" s="17">
        <f>10</f>
        <v>10</v>
      </c>
      <c r="M27" s="22"/>
      <c r="N27" s="31"/>
      <c r="O27" s="32"/>
      <c r="P27" s="31"/>
      <c r="Q27" s="22"/>
      <c r="R27" s="32"/>
      <c r="S27" s="31"/>
      <c r="T27" s="32"/>
      <c r="U27" s="188"/>
      <c r="V27" s="188"/>
      <c r="W27" s="188"/>
      <c r="X27" s="188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</row>
    <row r="28" spans="1:39" s="14" customFormat="1" ht="11.25">
      <c r="A28" s="183">
        <v>26</v>
      </c>
      <c r="B28" s="1">
        <v>35580</v>
      </c>
      <c r="C28" s="33" t="s">
        <v>115</v>
      </c>
      <c r="D28" s="186">
        <f t="shared" si="0"/>
        <v>115</v>
      </c>
      <c r="E28" s="1">
        <f>5</f>
        <v>5</v>
      </c>
      <c r="F28" s="1">
        <f>30</f>
        <v>30</v>
      </c>
      <c r="G28" s="1">
        <f>1+7+9+10+15</f>
        <v>42</v>
      </c>
      <c r="H28" s="1">
        <f>30+8</f>
        <v>38</v>
      </c>
      <c r="I28" s="1"/>
      <c r="J28" s="194"/>
      <c r="K28" s="194"/>
      <c r="L28" s="15"/>
      <c r="M28" s="22"/>
      <c r="N28" s="31"/>
      <c r="O28" s="22"/>
      <c r="P28" s="31"/>
      <c r="Q28" s="22"/>
      <c r="R28" s="32"/>
      <c r="S28" s="31"/>
      <c r="T28" s="32"/>
      <c r="U28" s="188"/>
      <c r="V28" s="188"/>
      <c r="W28" s="188"/>
      <c r="X28" s="188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</row>
    <row r="29" spans="1:39" s="14" customFormat="1" ht="11.25">
      <c r="A29" s="183">
        <v>27</v>
      </c>
      <c r="B29" s="1">
        <v>35564</v>
      </c>
      <c r="C29" s="33" t="s">
        <v>39</v>
      </c>
      <c r="D29" s="186">
        <f t="shared" si="0"/>
        <v>113</v>
      </c>
      <c r="E29" s="187">
        <f>30</f>
        <v>30</v>
      </c>
      <c r="F29" s="15">
        <f>12+8+3</f>
        <v>23</v>
      </c>
      <c r="G29" s="15">
        <f>1+1+10</f>
        <v>12</v>
      </c>
      <c r="H29" s="15">
        <f>5+9+11</f>
        <v>25</v>
      </c>
      <c r="I29" s="15">
        <f>12+2+1+8</f>
        <v>23</v>
      </c>
      <c r="J29" s="17"/>
      <c r="K29" s="17"/>
      <c r="L29" s="17"/>
      <c r="M29" s="22"/>
      <c r="N29" s="31"/>
      <c r="O29" s="32"/>
      <c r="P29" s="31"/>
      <c r="Q29" s="22"/>
      <c r="R29" s="32"/>
      <c r="S29" s="31"/>
      <c r="T29" s="32"/>
      <c r="U29" s="188"/>
      <c r="V29" s="188"/>
      <c r="W29" s="188"/>
      <c r="X29" s="188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</row>
    <row r="30" spans="1:12" s="14" customFormat="1" ht="11.25">
      <c r="A30" s="183">
        <v>28</v>
      </c>
      <c r="B30" s="15">
        <v>35613</v>
      </c>
      <c r="C30" s="16" t="s">
        <v>130</v>
      </c>
      <c r="D30" s="186">
        <f t="shared" si="0"/>
        <v>110</v>
      </c>
      <c r="E30" s="189">
        <f>29</f>
        <v>29</v>
      </c>
      <c r="F30" s="1">
        <f>24+1</f>
        <v>25</v>
      </c>
      <c r="G30" s="1">
        <f>6+30</f>
        <v>36</v>
      </c>
      <c r="H30" s="1"/>
      <c r="I30" s="1"/>
      <c r="J30" s="1"/>
      <c r="K30" s="1"/>
      <c r="L30" s="1">
        <f>10+10</f>
        <v>20</v>
      </c>
    </row>
    <row r="31" spans="1:39" s="14" customFormat="1" ht="11.25">
      <c r="A31" s="183">
        <v>29</v>
      </c>
      <c r="B31" s="1">
        <v>35618</v>
      </c>
      <c r="C31" s="33" t="s">
        <v>99</v>
      </c>
      <c r="D31" s="186">
        <f t="shared" si="0"/>
        <v>105</v>
      </c>
      <c r="E31" s="189">
        <f>21</f>
        <v>21</v>
      </c>
      <c r="F31" s="1">
        <f>12</f>
        <v>12</v>
      </c>
      <c r="G31" s="1">
        <f>16+21+15</f>
        <v>52</v>
      </c>
      <c r="H31" s="1"/>
      <c r="I31" s="1"/>
      <c r="J31" s="1"/>
      <c r="K31" s="1"/>
      <c r="L31" s="1">
        <f>20</f>
        <v>20</v>
      </c>
      <c r="M31" s="22"/>
      <c r="N31" s="31"/>
      <c r="O31" s="32"/>
      <c r="P31" s="31"/>
      <c r="Q31" s="22"/>
      <c r="R31" s="32"/>
      <c r="S31" s="31"/>
      <c r="T31" s="32"/>
      <c r="U31" s="188"/>
      <c r="V31" s="188"/>
      <c r="W31" s="188"/>
      <c r="X31" s="188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</row>
    <row r="32" spans="1:12" ht="11.25">
      <c r="A32" s="183">
        <v>30</v>
      </c>
      <c r="B32" s="1">
        <v>35631</v>
      </c>
      <c r="C32" s="33" t="s">
        <v>145</v>
      </c>
      <c r="D32" s="186">
        <f t="shared" si="0"/>
        <v>101</v>
      </c>
      <c r="E32" s="187"/>
      <c r="F32" s="15">
        <f>30+8</f>
        <v>38</v>
      </c>
      <c r="G32" s="15">
        <f>15+2+11</f>
        <v>28</v>
      </c>
      <c r="H32" s="17">
        <f>5</f>
        <v>5</v>
      </c>
      <c r="I32" s="17"/>
      <c r="J32" s="17"/>
      <c r="K32" s="17"/>
      <c r="L32" s="15">
        <f>10+10+10</f>
        <v>30</v>
      </c>
    </row>
    <row r="33" spans="1:39" s="14" customFormat="1" ht="11.25">
      <c r="A33" s="183">
        <v>31</v>
      </c>
      <c r="B33" s="1">
        <v>35570</v>
      </c>
      <c r="C33" s="33" t="s">
        <v>58</v>
      </c>
      <c r="D33" s="186">
        <f t="shared" si="0"/>
        <v>100</v>
      </c>
      <c r="E33" s="187">
        <f>11</f>
        <v>11</v>
      </c>
      <c r="F33" s="15">
        <f>16</f>
        <v>16</v>
      </c>
      <c r="G33" s="15">
        <f>17+11+2</f>
        <v>30</v>
      </c>
      <c r="H33" s="15">
        <f>15+3</f>
        <v>18</v>
      </c>
      <c r="I33" s="15">
        <f>12+3</f>
        <v>15</v>
      </c>
      <c r="J33" s="17"/>
      <c r="K33" s="17"/>
      <c r="L33" s="15">
        <f>10</f>
        <v>10</v>
      </c>
      <c r="M33" s="22"/>
      <c r="N33" s="31"/>
      <c r="O33" s="22"/>
      <c r="P33" s="31"/>
      <c r="Q33" s="22"/>
      <c r="R33" s="32"/>
      <c r="S33" s="31"/>
      <c r="T33" s="32"/>
      <c r="U33" s="188"/>
      <c r="V33" s="188"/>
      <c r="W33" s="188"/>
      <c r="X33" s="188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</row>
    <row r="34" spans="1:12" s="14" customFormat="1" ht="11.25">
      <c r="A34" s="183">
        <v>32</v>
      </c>
      <c r="B34" s="1">
        <v>35557</v>
      </c>
      <c r="C34" s="33" t="s">
        <v>62</v>
      </c>
      <c r="D34" s="186">
        <f t="shared" si="0"/>
        <v>99</v>
      </c>
      <c r="E34" s="1">
        <f>6+5+1+2</f>
        <v>14</v>
      </c>
      <c r="F34" s="1">
        <f>4+6+3</f>
        <v>13</v>
      </c>
      <c r="G34" s="1">
        <f>2+7+7</f>
        <v>16</v>
      </c>
      <c r="H34" s="1">
        <f>5+10</f>
        <v>15</v>
      </c>
      <c r="I34" s="1">
        <f>14+10+17</f>
        <v>41</v>
      </c>
      <c r="J34" s="194"/>
      <c r="K34" s="194"/>
      <c r="L34" s="15"/>
    </row>
    <row r="35" spans="1:12" s="14" customFormat="1" ht="11.25">
      <c r="A35" s="183">
        <v>33</v>
      </c>
      <c r="B35" s="15">
        <v>35546</v>
      </c>
      <c r="C35" s="16" t="s">
        <v>33</v>
      </c>
      <c r="D35" s="186">
        <f aca="true" t="shared" si="1" ref="D35:D63">SUM(E35:L35)</f>
        <v>98</v>
      </c>
      <c r="E35" s="1">
        <f>18</f>
        <v>18</v>
      </c>
      <c r="F35" s="1">
        <f>17+6</f>
        <v>23</v>
      </c>
      <c r="G35" s="1">
        <f>10+10</f>
        <v>20</v>
      </c>
      <c r="H35" s="1">
        <f>1+3+11</f>
        <v>15</v>
      </c>
      <c r="I35" s="1">
        <f>11+11</f>
        <v>22</v>
      </c>
      <c r="J35" s="194"/>
      <c r="K35" s="194"/>
      <c r="L35" s="15"/>
    </row>
    <row r="36" spans="1:12" s="14" customFormat="1" ht="11.25">
      <c r="A36" s="183">
        <v>34</v>
      </c>
      <c r="B36" s="1">
        <v>35558</v>
      </c>
      <c r="C36" s="33" t="s">
        <v>66</v>
      </c>
      <c r="D36" s="186">
        <f t="shared" si="1"/>
        <v>98</v>
      </c>
      <c r="E36" s="187"/>
      <c r="F36" s="15">
        <f>2+2+9</f>
        <v>13</v>
      </c>
      <c r="G36" s="15">
        <f>1+13+3</f>
        <v>17</v>
      </c>
      <c r="H36" s="15">
        <f>16+10</f>
        <v>26</v>
      </c>
      <c r="I36" s="15">
        <f>27+5</f>
        <v>32</v>
      </c>
      <c r="J36" s="17"/>
      <c r="K36" s="17"/>
      <c r="L36" s="15">
        <f>10</f>
        <v>10</v>
      </c>
    </row>
    <row r="37" spans="1:9" ht="11.25">
      <c r="A37" s="183">
        <v>35</v>
      </c>
      <c r="B37" s="15">
        <v>35530</v>
      </c>
      <c r="C37" s="16" t="s">
        <v>55</v>
      </c>
      <c r="D37" s="186">
        <f t="shared" si="1"/>
        <v>94</v>
      </c>
      <c r="E37" s="189">
        <f>8</f>
        <v>8</v>
      </c>
      <c r="F37" s="1">
        <f>30+10</f>
        <v>40</v>
      </c>
      <c r="G37" s="1">
        <f>4+3+10+5+1</f>
        <v>23</v>
      </c>
      <c r="H37" s="1">
        <f>2+12+4</f>
        <v>18</v>
      </c>
      <c r="I37" s="1">
        <f>3+2</f>
        <v>5</v>
      </c>
    </row>
    <row r="38" spans="1:12" s="14" customFormat="1" ht="11.25">
      <c r="A38" s="183">
        <v>36</v>
      </c>
      <c r="B38" s="1">
        <v>35574</v>
      </c>
      <c r="C38" s="33" t="s">
        <v>29</v>
      </c>
      <c r="D38" s="186">
        <f t="shared" si="1"/>
        <v>93</v>
      </c>
      <c r="E38" s="187"/>
      <c r="F38" s="15">
        <f>10+6</f>
        <v>16</v>
      </c>
      <c r="G38" s="15">
        <f>7+5+7</f>
        <v>19</v>
      </c>
      <c r="H38" s="15">
        <f>17</f>
        <v>17</v>
      </c>
      <c r="I38" s="17">
        <f>17+14</f>
        <v>31</v>
      </c>
      <c r="J38" s="17"/>
      <c r="K38" s="17"/>
      <c r="L38" s="15">
        <f>10</f>
        <v>10</v>
      </c>
    </row>
    <row r="39" spans="1:12" ht="11.25">
      <c r="A39" s="183">
        <v>37</v>
      </c>
      <c r="B39" s="1">
        <v>35627</v>
      </c>
      <c r="C39" s="33" t="s">
        <v>98</v>
      </c>
      <c r="D39" s="186">
        <f t="shared" si="1"/>
        <v>92</v>
      </c>
      <c r="E39" s="189">
        <f>4+18</f>
        <v>22</v>
      </c>
      <c r="F39" s="1">
        <f>7+6</f>
        <v>13</v>
      </c>
      <c r="G39" s="1">
        <f>25+12</f>
        <v>37</v>
      </c>
      <c r="L39" s="1">
        <f>20</f>
        <v>20</v>
      </c>
    </row>
    <row r="40" spans="1:12" ht="11.25">
      <c r="A40" s="183">
        <v>38</v>
      </c>
      <c r="B40" s="1">
        <v>35600</v>
      </c>
      <c r="C40" s="33" t="s">
        <v>141</v>
      </c>
      <c r="D40" s="186">
        <f t="shared" si="1"/>
        <v>89</v>
      </c>
      <c r="E40" s="187">
        <f>7</f>
        <v>7</v>
      </c>
      <c r="F40" s="15">
        <f>8</f>
        <v>8</v>
      </c>
      <c r="G40" s="15">
        <f>1+8+6</f>
        <v>15</v>
      </c>
      <c r="H40" s="17">
        <f>34+5</f>
        <v>39</v>
      </c>
      <c r="I40" s="17"/>
      <c r="J40" s="17"/>
      <c r="K40" s="17"/>
      <c r="L40" s="15">
        <f>10+10</f>
        <v>20</v>
      </c>
    </row>
    <row r="41" spans="1:12" ht="11.25">
      <c r="A41" s="183">
        <v>39</v>
      </c>
      <c r="B41" s="15">
        <v>35422</v>
      </c>
      <c r="C41" s="16" t="s">
        <v>45</v>
      </c>
      <c r="D41" s="186">
        <f t="shared" si="1"/>
        <v>85</v>
      </c>
      <c r="E41" s="1">
        <f>12</f>
        <v>12</v>
      </c>
      <c r="F41" s="1">
        <f>2+3+1</f>
        <v>6</v>
      </c>
      <c r="G41" s="1">
        <f>4+2+4+6</f>
        <v>16</v>
      </c>
      <c r="H41" s="1">
        <f>2+2+4+3+7</f>
        <v>18</v>
      </c>
      <c r="I41" s="1">
        <f>11+6+5</f>
        <v>22</v>
      </c>
      <c r="J41" s="15">
        <f>11</f>
        <v>11</v>
      </c>
      <c r="K41" s="27"/>
      <c r="L41" s="15"/>
    </row>
    <row r="42" spans="1:12" ht="11.25">
      <c r="A42" s="183">
        <v>40</v>
      </c>
      <c r="B42" s="1">
        <v>35565</v>
      </c>
      <c r="C42" s="33" t="s">
        <v>110</v>
      </c>
      <c r="D42" s="186">
        <f t="shared" si="1"/>
        <v>83</v>
      </c>
      <c r="E42" s="1">
        <f>5+5</f>
        <v>10</v>
      </c>
      <c r="F42" s="1">
        <f>13+13</f>
        <v>26</v>
      </c>
      <c r="G42" s="1">
        <f>3+4+13+6</f>
        <v>26</v>
      </c>
      <c r="H42" s="1">
        <f>4+7</f>
        <v>11</v>
      </c>
      <c r="J42" s="37"/>
      <c r="K42" s="37"/>
      <c r="L42" s="1">
        <f>10</f>
        <v>10</v>
      </c>
    </row>
    <row r="43" spans="1:12" ht="11.25">
      <c r="A43" s="183">
        <v>44</v>
      </c>
      <c r="B43" s="1">
        <v>35626</v>
      </c>
      <c r="C43" s="33" t="s">
        <v>132</v>
      </c>
      <c r="D43" s="186">
        <f t="shared" si="1"/>
        <v>81</v>
      </c>
      <c r="E43" s="187"/>
      <c r="F43" s="15">
        <f>20+2</f>
        <v>22</v>
      </c>
      <c r="G43" s="15">
        <f>6+15+18</f>
        <v>39</v>
      </c>
      <c r="H43" s="17"/>
      <c r="I43" s="17"/>
      <c r="J43" s="17"/>
      <c r="K43" s="17"/>
      <c r="L43" s="15">
        <f>10+10</f>
        <v>20</v>
      </c>
    </row>
    <row r="44" spans="1:12" ht="11.25">
      <c r="A44" s="183">
        <v>41</v>
      </c>
      <c r="B44" s="15">
        <v>35617</v>
      </c>
      <c r="C44" s="16" t="s">
        <v>94</v>
      </c>
      <c r="D44" s="186">
        <f t="shared" si="1"/>
        <v>66</v>
      </c>
      <c r="E44" s="189">
        <f>21</f>
        <v>21</v>
      </c>
      <c r="F44" s="1">
        <f>3+30</f>
        <v>33</v>
      </c>
      <c r="G44" s="1">
        <f>2</f>
        <v>2</v>
      </c>
      <c r="L44" s="1">
        <f>10</f>
        <v>10</v>
      </c>
    </row>
    <row r="45" spans="1:12" ht="11.25">
      <c r="A45" s="183">
        <v>42</v>
      </c>
      <c r="B45" s="1">
        <v>35621</v>
      </c>
      <c r="C45" s="33" t="s">
        <v>161</v>
      </c>
      <c r="D45" s="186">
        <f t="shared" si="1"/>
        <v>63</v>
      </c>
      <c r="E45" s="1">
        <f>8</f>
        <v>8</v>
      </c>
      <c r="F45" s="1">
        <f>30+15</f>
        <v>45</v>
      </c>
      <c r="J45" s="194"/>
      <c r="K45" s="194"/>
      <c r="L45" s="15">
        <f>10</f>
        <v>10</v>
      </c>
    </row>
    <row r="46" spans="1:12" ht="11.25">
      <c r="A46" s="183">
        <v>43</v>
      </c>
      <c r="B46" s="1">
        <v>35594</v>
      </c>
      <c r="C46" s="53" t="s">
        <v>151</v>
      </c>
      <c r="D46" s="186">
        <f t="shared" si="1"/>
        <v>59</v>
      </c>
      <c r="E46" s="187">
        <f>3+11</f>
        <v>14</v>
      </c>
      <c r="F46" s="15">
        <f>8+2+6</f>
        <v>16</v>
      </c>
      <c r="G46" s="15">
        <f>10+6</f>
        <v>16</v>
      </c>
      <c r="H46" s="17">
        <f>13</f>
        <v>13</v>
      </c>
      <c r="I46" s="17"/>
      <c r="J46" s="17"/>
      <c r="K46" s="17"/>
      <c r="L46" s="17"/>
    </row>
    <row r="47" spans="1:9" ht="11.25">
      <c r="A47" s="183">
        <v>45</v>
      </c>
      <c r="B47" s="15">
        <v>35413</v>
      </c>
      <c r="C47" s="16" t="s">
        <v>37</v>
      </c>
      <c r="D47" s="186">
        <f t="shared" si="1"/>
        <v>53</v>
      </c>
      <c r="E47" s="189">
        <f>1</f>
        <v>1</v>
      </c>
      <c r="F47" s="1">
        <f>30+4</f>
        <v>34</v>
      </c>
      <c r="G47" s="1">
        <f>5+1</f>
        <v>6</v>
      </c>
      <c r="H47" s="1">
        <f>6</f>
        <v>6</v>
      </c>
      <c r="I47" s="1">
        <f>6</f>
        <v>6</v>
      </c>
    </row>
    <row r="48" spans="1:39" s="14" customFormat="1" ht="11.25">
      <c r="A48" s="183">
        <v>46</v>
      </c>
      <c r="B48" s="1">
        <v>35540</v>
      </c>
      <c r="C48" s="33" t="s">
        <v>127</v>
      </c>
      <c r="D48" s="186">
        <f t="shared" si="1"/>
        <v>45</v>
      </c>
      <c r="E48" s="1">
        <f>7</f>
        <v>7</v>
      </c>
      <c r="F48" s="1">
        <f>4+1</f>
        <v>5</v>
      </c>
      <c r="G48" s="1">
        <f>4+12+7</f>
        <v>23</v>
      </c>
      <c r="H48" s="1"/>
      <c r="I48" s="1"/>
      <c r="J48" s="37"/>
      <c r="K48" s="37"/>
      <c r="L48" s="1">
        <f>10</f>
        <v>10</v>
      </c>
      <c r="M48" s="22"/>
      <c r="N48" s="31"/>
      <c r="O48" s="22"/>
      <c r="P48" s="31"/>
      <c r="Q48" s="22"/>
      <c r="R48" s="32"/>
      <c r="S48" s="31"/>
      <c r="T48" s="32"/>
      <c r="U48" s="188"/>
      <c r="V48" s="188"/>
      <c r="W48" s="188"/>
      <c r="X48" s="188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</row>
    <row r="49" spans="1:39" s="14" customFormat="1" ht="11.25">
      <c r="A49" s="183">
        <v>47</v>
      </c>
      <c r="B49" s="15">
        <v>35334</v>
      </c>
      <c r="C49" s="16" t="s">
        <v>89</v>
      </c>
      <c r="D49" s="186">
        <f t="shared" si="1"/>
        <v>44</v>
      </c>
      <c r="E49" s="1"/>
      <c r="F49" s="1">
        <f>20</f>
        <v>20</v>
      </c>
      <c r="G49" s="1">
        <f>8</f>
        <v>8</v>
      </c>
      <c r="H49" s="1">
        <f>2+7</f>
        <v>9</v>
      </c>
      <c r="I49" s="1">
        <f>7</f>
        <v>7</v>
      </c>
      <c r="J49" s="194"/>
      <c r="K49" s="194"/>
      <c r="L49" s="15"/>
      <c r="M49" s="22"/>
      <c r="N49" s="31"/>
      <c r="O49" s="22"/>
      <c r="P49" s="31"/>
      <c r="Q49" s="22"/>
      <c r="R49" s="32"/>
      <c r="S49" s="31"/>
      <c r="T49" s="32"/>
      <c r="U49" s="188"/>
      <c r="V49" s="188"/>
      <c r="W49" s="188"/>
      <c r="X49" s="188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</row>
    <row r="50" spans="1:12" s="14" customFormat="1" ht="11.25">
      <c r="A50" s="183">
        <v>48</v>
      </c>
      <c r="B50" s="15">
        <v>35408</v>
      </c>
      <c r="C50" s="16" t="s">
        <v>19</v>
      </c>
      <c r="D50" s="186">
        <f t="shared" si="1"/>
        <v>40</v>
      </c>
      <c r="E50" s="189"/>
      <c r="F50" s="1"/>
      <c r="G50" s="1">
        <f>6+2</f>
        <v>8</v>
      </c>
      <c r="H50" s="1">
        <f>12</f>
        <v>12</v>
      </c>
      <c r="I50" s="1">
        <f>3+9</f>
        <v>12</v>
      </c>
      <c r="J50" s="1">
        <f>8</f>
        <v>8</v>
      </c>
      <c r="K50" s="1"/>
      <c r="L50" s="1"/>
    </row>
    <row r="51" spans="1:12" s="14" customFormat="1" ht="11.25">
      <c r="A51" s="183">
        <v>49</v>
      </c>
      <c r="B51" s="15">
        <v>35428</v>
      </c>
      <c r="C51" s="16" t="s">
        <v>27</v>
      </c>
      <c r="D51" s="186">
        <f t="shared" si="1"/>
        <v>24</v>
      </c>
      <c r="E51" s="1"/>
      <c r="F51" s="1"/>
      <c r="G51" s="1">
        <f>7+1</f>
        <v>8</v>
      </c>
      <c r="H51" s="1">
        <f>4+8</f>
        <v>12</v>
      </c>
      <c r="I51" s="1">
        <f>2+2</f>
        <v>4</v>
      </c>
      <c r="J51" s="194"/>
      <c r="K51" s="194"/>
      <c r="L51" s="15"/>
    </row>
    <row r="52" spans="1:39" s="14" customFormat="1" ht="11.25">
      <c r="A52" s="183">
        <v>50</v>
      </c>
      <c r="B52" s="1">
        <v>35603</v>
      </c>
      <c r="C52" s="53" t="s">
        <v>88</v>
      </c>
      <c r="D52" s="186">
        <f t="shared" si="1"/>
        <v>12</v>
      </c>
      <c r="E52" s="189"/>
      <c r="F52" s="1"/>
      <c r="G52" s="1">
        <f>7+3+2</f>
        <v>12</v>
      </c>
      <c r="H52" s="1"/>
      <c r="I52" s="1"/>
      <c r="J52" s="1"/>
      <c r="K52" s="1"/>
      <c r="L52" s="1"/>
      <c r="M52" s="22"/>
      <c r="N52" s="31"/>
      <c r="O52" s="22"/>
      <c r="P52" s="31"/>
      <c r="Q52" s="22"/>
      <c r="R52" s="32"/>
      <c r="S52" s="31"/>
      <c r="T52" s="32"/>
      <c r="U52" s="188"/>
      <c r="V52" s="188"/>
      <c r="W52" s="188"/>
      <c r="X52" s="188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</row>
    <row r="53" spans="1:12" s="14" customFormat="1" ht="11.25">
      <c r="A53" s="183">
        <v>51</v>
      </c>
      <c r="B53" s="15">
        <v>35291</v>
      </c>
      <c r="C53" s="16" t="s">
        <v>20</v>
      </c>
      <c r="D53" s="186">
        <f t="shared" si="1"/>
        <v>10</v>
      </c>
      <c r="E53" s="189"/>
      <c r="F53" s="1"/>
      <c r="G53" s="1"/>
      <c r="H53" s="1"/>
      <c r="I53" s="1"/>
      <c r="J53" s="1">
        <f>6</f>
        <v>6</v>
      </c>
      <c r="K53" s="1">
        <f>4</f>
        <v>4</v>
      </c>
      <c r="L53" s="1"/>
    </row>
    <row r="54" spans="1:39" s="14" customFormat="1" ht="11.25">
      <c r="A54" s="183">
        <v>52</v>
      </c>
      <c r="B54" s="15">
        <v>35330</v>
      </c>
      <c r="C54" s="16" t="s">
        <v>17</v>
      </c>
      <c r="D54" s="186">
        <f t="shared" si="1"/>
        <v>5</v>
      </c>
      <c r="E54" s="189"/>
      <c r="F54" s="1"/>
      <c r="G54" s="1"/>
      <c r="H54" s="1">
        <f>5</f>
        <v>5</v>
      </c>
      <c r="I54" s="1"/>
      <c r="J54" s="1"/>
      <c r="K54" s="1"/>
      <c r="L54" s="1"/>
      <c r="M54" s="17"/>
      <c r="N54" s="17"/>
      <c r="O54" s="22"/>
      <c r="P54" s="31"/>
      <c r="Q54" s="22"/>
      <c r="R54" s="32"/>
      <c r="S54" s="31"/>
      <c r="T54" s="32"/>
      <c r="U54" s="188"/>
      <c r="V54" s="188"/>
      <c r="W54" s="188"/>
      <c r="X54" s="188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</row>
    <row r="55" spans="1:12" ht="11.25">
      <c r="A55" s="183">
        <v>53</v>
      </c>
      <c r="B55" s="1">
        <v>35586</v>
      </c>
      <c r="C55" s="53" t="s">
        <v>57</v>
      </c>
      <c r="D55" s="186">
        <f t="shared" si="1"/>
        <v>3</v>
      </c>
      <c r="E55" s="187"/>
      <c r="F55" s="14"/>
      <c r="G55" s="14">
        <f>3</f>
        <v>3</v>
      </c>
      <c r="H55" s="14"/>
      <c r="I55" s="14"/>
      <c r="J55" s="14"/>
      <c r="K55" s="14"/>
      <c r="L55" s="14"/>
    </row>
    <row r="56" spans="1:39" s="14" customFormat="1" ht="11.25">
      <c r="A56" s="183">
        <v>54</v>
      </c>
      <c r="B56" s="1">
        <v>35598</v>
      </c>
      <c r="C56" s="53" t="s">
        <v>157</v>
      </c>
      <c r="D56" s="186">
        <f t="shared" si="1"/>
        <v>0</v>
      </c>
      <c r="E56" s="187"/>
      <c r="F56" s="17"/>
      <c r="G56" s="17"/>
      <c r="H56" s="17"/>
      <c r="I56" s="17"/>
      <c r="J56" s="17"/>
      <c r="K56" s="17"/>
      <c r="L56" s="17"/>
      <c r="M56" s="17"/>
      <c r="N56" s="17"/>
      <c r="O56" s="22"/>
      <c r="P56" s="31"/>
      <c r="Q56" s="22"/>
      <c r="R56" s="32"/>
      <c r="S56" s="31"/>
      <c r="T56" s="32"/>
      <c r="U56" s="188"/>
      <c r="V56" s="188"/>
      <c r="W56" s="188"/>
      <c r="X56" s="188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</row>
    <row r="57" spans="1:39" s="14" customFormat="1" ht="11.25">
      <c r="A57" s="183">
        <v>55</v>
      </c>
      <c r="B57" s="1">
        <v>35591</v>
      </c>
      <c r="C57" s="53" t="s">
        <v>138</v>
      </c>
      <c r="D57" s="186">
        <f t="shared" si="1"/>
        <v>0</v>
      </c>
      <c r="E57" s="187"/>
      <c r="F57" s="17"/>
      <c r="G57" s="17"/>
      <c r="H57" s="17"/>
      <c r="I57" s="17"/>
      <c r="J57" s="17"/>
      <c r="K57" s="17"/>
      <c r="L57" s="17"/>
      <c r="M57" s="17"/>
      <c r="N57" s="17"/>
      <c r="O57" s="22"/>
      <c r="P57" s="31"/>
      <c r="Q57" s="22"/>
      <c r="R57" s="32"/>
      <c r="S57" s="31"/>
      <c r="T57" s="32"/>
      <c r="U57" s="188"/>
      <c r="V57" s="188"/>
      <c r="W57" s="188"/>
      <c r="X57" s="188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</row>
    <row r="58" spans="1:39" s="14" customFormat="1" ht="11.25">
      <c r="A58" s="183">
        <v>56</v>
      </c>
      <c r="B58" s="15">
        <v>35421</v>
      </c>
      <c r="C58" s="16" t="s">
        <v>59</v>
      </c>
      <c r="D58" s="186">
        <f t="shared" si="1"/>
        <v>0</v>
      </c>
      <c r="E58" s="189"/>
      <c r="F58" s="1"/>
      <c r="G58" s="1"/>
      <c r="H58" s="1"/>
      <c r="I58" s="1"/>
      <c r="J58" s="1"/>
      <c r="K58" s="1"/>
      <c r="L58" s="1"/>
      <c r="M58" s="17"/>
      <c r="N58" s="17"/>
      <c r="O58" s="22"/>
      <c r="P58" s="31"/>
      <c r="Q58" s="22"/>
      <c r="R58" s="32"/>
      <c r="S58" s="31"/>
      <c r="T58" s="32"/>
      <c r="U58" s="188"/>
      <c r="V58" s="188"/>
      <c r="W58" s="188"/>
      <c r="X58" s="188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</row>
    <row r="59" spans="1:4" ht="11.25">
      <c r="A59" s="183">
        <v>57</v>
      </c>
      <c r="B59" s="15">
        <v>35423</v>
      </c>
      <c r="C59" s="16" t="s">
        <v>74</v>
      </c>
      <c r="D59" s="186">
        <f t="shared" si="1"/>
        <v>0</v>
      </c>
    </row>
    <row r="60" spans="1:12" ht="11.25">
      <c r="A60" s="183">
        <v>58</v>
      </c>
      <c r="B60" s="1">
        <v>35595</v>
      </c>
      <c r="C60" s="53" t="s">
        <v>84</v>
      </c>
      <c r="D60" s="186">
        <f t="shared" si="1"/>
        <v>0</v>
      </c>
      <c r="E60" s="1"/>
      <c r="J60" s="194"/>
      <c r="K60" s="194"/>
      <c r="L60" s="17"/>
    </row>
    <row r="61" spans="1:4" ht="11.25">
      <c r="A61" s="183">
        <v>58</v>
      </c>
      <c r="B61" s="15">
        <v>35318</v>
      </c>
      <c r="C61" s="16" t="s">
        <v>75</v>
      </c>
      <c r="D61" s="186">
        <f t="shared" si="1"/>
        <v>0</v>
      </c>
    </row>
    <row r="62" spans="1:12" ht="11.25">
      <c r="A62" s="183">
        <v>58</v>
      </c>
      <c r="B62" s="1">
        <v>35599</v>
      </c>
      <c r="C62" s="53" t="s">
        <v>91</v>
      </c>
      <c r="D62" s="186">
        <f t="shared" si="1"/>
        <v>0</v>
      </c>
      <c r="E62" s="195"/>
      <c r="F62" s="14"/>
      <c r="G62" s="14"/>
      <c r="H62" s="14"/>
      <c r="I62" s="14"/>
      <c r="J62" s="14"/>
      <c r="K62" s="14"/>
      <c r="L62" s="14"/>
    </row>
    <row r="63" spans="1:4" ht="11.25">
      <c r="A63" s="183">
        <v>58</v>
      </c>
      <c r="B63" s="15">
        <v>35283</v>
      </c>
      <c r="C63" s="16" t="s">
        <v>30</v>
      </c>
      <c r="D63" s="186">
        <f t="shared" si="1"/>
        <v>0</v>
      </c>
    </row>
    <row r="64" spans="1:39" s="14" customFormat="1" ht="11.25">
      <c r="A64" s="183">
        <v>58</v>
      </c>
      <c r="B64" s="15"/>
      <c r="C64" s="16"/>
      <c r="D64" s="186"/>
      <c r="E64" s="189"/>
      <c r="F64" s="1"/>
      <c r="G64" s="1"/>
      <c r="H64" s="1"/>
      <c r="I64" s="1"/>
      <c r="J64" s="1"/>
      <c r="K64" s="1"/>
      <c r="L64" s="1"/>
      <c r="M64" s="62"/>
      <c r="N64" s="31"/>
      <c r="O64" s="22"/>
      <c r="P64" s="31"/>
      <c r="Q64" s="22"/>
      <c r="R64" s="32"/>
      <c r="S64" s="31"/>
      <c r="T64" s="32"/>
      <c r="U64" s="188"/>
      <c r="V64" s="188"/>
      <c r="W64" s="188"/>
      <c r="X64" s="188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</row>
    <row r="65" spans="1:39" s="14" customFormat="1" ht="11.25">
      <c r="A65" s="183"/>
      <c r="B65" s="15"/>
      <c r="C65" s="16"/>
      <c r="D65" s="196"/>
      <c r="E65" s="197"/>
      <c r="F65" s="188"/>
      <c r="G65" s="188"/>
      <c r="H65" s="194"/>
      <c r="I65" s="194"/>
      <c r="J65" s="194"/>
      <c r="K65" s="194"/>
      <c r="L65" s="15"/>
      <c r="M65" s="22"/>
      <c r="N65" s="31"/>
      <c r="O65" s="22"/>
      <c r="P65" s="31"/>
      <c r="Q65" s="22"/>
      <c r="R65" s="32"/>
      <c r="S65" s="31"/>
      <c r="T65" s="32"/>
      <c r="U65" s="188"/>
      <c r="V65" s="188"/>
      <c r="W65" s="188"/>
      <c r="X65" s="188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</row>
    <row r="66" spans="1:39" s="14" customFormat="1" ht="11.25">
      <c r="A66" s="183"/>
      <c r="B66" s="15"/>
      <c r="C66" s="16"/>
      <c r="D66" s="196"/>
      <c r="E66" s="197"/>
      <c r="F66" s="188"/>
      <c r="G66" s="188"/>
      <c r="H66" s="194"/>
      <c r="I66" s="194"/>
      <c r="J66" s="194"/>
      <c r="K66" s="194"/>
      <c r="L66" s="15"/>
      <c r="M66" s="22"/>
      <c r="N66" s="31"/>
      <c r="O66" s="22"/>
      <c r="P66" s="31"/>
      <c r="Q66" s="22"/>
      <c r="R66" s="32"/>
      <c r="S66" s="31"/>
      <c r="T66" s="32"/>
      <c r="U66" s="188"/>
      <c r="V66" s="188"/>
      <c r="W66" s="188"/>
      <c r="X66" s="188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</row>
    <row r="67" spans="1:39" s="14" customFormat="1" ht="11.25">
      <c r="A67" s="183"/>
      <c r="B67" s="15"/>
      <c r="C67" s="16"/>
      <c r="D67" s="196"/>
      <c r="E67" s="197"/>
      <c r="F67" s="188"/>
      <c r="G67" s="188"/>
      <c r="H67" s="194"/>
      <c r="I67" s="194"/>
      <c r="J67" s="194"/>
      <c r="K67" s="194"/>
      <c r="L67" s="15"/>
      <c r="M67" s="22"/>
      <c r="N67" s="31"/>
      <c r="O67" s="22"/>
      <c r="P67" s="31"/>
      <c r="Q67" s="22"/>
      <c r="R67" s="32"/>
      <c r="S67" s="31"/>
      <c r="T67" s="32"/>
      <c r="U67" s="188"/>
      <c r="V67" s="188"/>
      <c r="W67" s="188"/>
      <c r="X67" s="188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</row>
    <row r="68" spans="1:39" s="14" customFormat="1" ht="11.25">
      <c r="A68" s="183"/>
      <c r="B68" s="15"/>
      <c r="C68" s="16"/>
      <c r="D68" s="196"/>
      <c r="E68" s="197"/>
      <c r="F68" s="188"/>
      <c r="G68" s="188"/>
      <c r="H68" s="194"/>
      <c r="I68" s="194"/>
      <c r="J68" s="194"/>
      <c r="K68" s="194"/>
      <c r="L68" s="15"/>
      <c r="M68" s="22"/>
      <c r="N68" s="31"/>
      <c r="O68" s="22"/>
      <c r="P68" s="31"/>
      <c r="Q68" s="22"/>
      <c r="R68" s="32"/>
      <c r="S68" s="31"/>
      <c r="T68" s="32"/>
      <c r="U68" s="188"/>
      <c r="V68" s="188"/>
      <c r="W68" s="188"/>
      <c r="X68" s="188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</row>
    <row r="69" spans="1:39" s="14" customFormat="1" ht="11.25">
      <c r="A69" s="183"/>
      <c r="B69" s="1"/>
      <c r="C69" s="33"/>
      <c r="D69" s="198"/>
      <c r="E69" s="189"/>
      <c r="F69" s="1"/>
      <c r="G69" s="1"/>
      <c r="H69" s="37"/>
      <c r="I69" s="37"/>
      <c r="J69" s="37"/>
      <c r="K69" s="37"/>
      <c r="L69" s="1"/>
      <c r="M69" s="22"/>
      <c r="N69" s="31"/>
      <c r="O69" s="22"/>
      <c r="P69" s="31"/>
      <c r="Q69" s="22"/>
      <c r="R69" s="32"/>
      <c r="S69" s="31"/>
      <c r="T69" s="32"/>
      <c r="U69" s="188"/>
      <c r="V69" s="188"/>
      <c r="W69" s="188"/>
      <c r="X69" s="188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</row>
    <row r="70" spans="8:11" ht="11.25">
      <c r="H70" s="37"/>
      <c r="I70" s="37"/>
      <c r="J70" s="37"/>
      <c r="K70" s="37"/>
    </row>
    <row r="71" spans="8:11" ht="11.25">
      <c r="H71" s="37"/>
      <c r="I71" s="37"/>
      <c r="J71" s="37"/>
      <c r="K71" s="37"/>
    </row>
    <row r="72" spans="2:12" ht="11.25">
      <c r="B72" s="15"/>
      <c r="C72" s="16"/>
      <c r="D72" s="196"/>
      <c r="E72" s="197"/>
      <c r="F72" s="188"/>
      <c r="G72" s="188"/>
      <c r="H72" s="194"/>
      <c r="I72" s="194"/>
      <c r="J72" s="194"/>
      <c r="K72" s="194"/>
      <c r="L72" s="15"/>
    </row>
    <row r="73" spans="1:39" s="14" customFormat="1" ht="11.25">
      <c r="A73" s="183"/>
      <c r="B73" s="1"/>
      <c r="C73" s="33"/>
      <c r="D73" s="198"/>
      <c r="E73" s="189"/>
      <c r="F73" s="1"/>
      <c r="G73" s="1"/>
      <c r="H73" s="37"/>
      <c r="I73" s="37"/>
      <c r="J73" s="37"/>
      <c r="K73" s="37"/>
      <c r="L73" s="1"/>
      <c r="M73" s="22"/>
      <c r="N73" s="31"/>
      <c r="O73" s="22"/>
      <c r="P73" s="31"/>
      <c r="Q73" s="22"/>
      <c r="R73" s="32"/>
      <c r="S73" s="31"/>
      <c r="T73" s="32"/>
      <c r="U73" s="188"/>
      <c r="V73" s="188"/>
      <c r="W73" s="188"/>
      <c r="X73" s="188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</row>
    <row r="74" spans="8:11" ht="11.25">
      <c r="H74" s="37"/>
      <c r="I74" s="37"/>
      <c r="J74" s="37"/>
      <c r="K74" s="37"/>
    </row>
    <row r="75" spans="2:12" ht="11.25">
      <c r="B75" s="14"/>
      <c r="C75" s="16"/>
      <c r="D75" s="183"/>
      <c r="E75" s="195"/>
      <c r="F75" s="14"/>
      <c r="G75" s="14"/>
      <c r="H75" s="44"/>
      <c r="I75" s="44"/>
      <c r="J75" s="44"/>
      <c r="K75" s="44"/>
      <c r="L75" s="14"/>
    </row>
    <row r="76" spans="1:12" s="14" customFormat="1" ht="11.25">
      <c r="A76" s="183"/>
      <c r="B76" s="15"/>
      <c r="C76" s="16"/>
      <c r="D76" s="196"/>
      <c r="E76" s="197"/>
      <c r="F76" s="188"/>
      <c r="G76" s="188"/>
      <c r="H76" s="194"/>
      <c r="I76" s="194"/>
      <c r="J76" s="194"/>
      <c r="K76" s="194"/>
      <c r="L76" s="15"/>
    </row>
    <row r="77" spans="1:39" s="14" customFormat="1" ht="11.25">
      <c r="A77" s="183"/>
      <c r="B77" s="1"/>
      <c r="C77" s="33"/>
      <c r="D77" s="198"/>
      <c r="E77" s="189"/>
      <c r="F77" s="1"/>
      <c r="G77" s="1"/>
      <c r="H77" s="37"/>
      <c r="I77" s="37"/>
      <c r="J77" s="37"/>
      <c r="K77" s="37"/>
      <c r="L77" s="1"/>
      <c r="M77" s="22"/>
      <c r="N77" s="31"/>
      <c r="O77" s="32"/>
      <c r="P77" s="31"/>
      <c r="Q77" s="22"/>
      <c r="R77" s="32"/>
      <c r="S77" s="31"/>
      <c r="T77" s="32"/>
      <c r="U77" s="188"/>
      <c r="V77" s="188"/>
      <c r="W77" s="188"/>
      <c r="X77" s="188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</row>
    <row r="78" spans="2:12" ht="11.25">
      <c r="B78" s="15"/>
      <c r="C78" s="16"/>
      <c r="D78" s="196"/>
      <c r="E78" s="197"/>
      <c r="F78" s="188"/>
      <c r="G78" s="188"/>
      <c r="H78" s="194"/>
      <c r="I78" s="194"/>
      <c r="J78" s="194"/>
      <c r="K78" s="194"/>
      <c r="L78" s="15"/>
    </row>
    <row r="79" spans="1:39" s="14" customFormat="1" ht="11.25">
      <c r="A79" s="183"/>
      <c r="B79" s="15"/>
      <c r="C79" s="16"/>
      <c r="D79" s="196"/>
      <c r="E79" s="197"/>
      <c r="F79" s="188"/>
      <c r="G79" s="188"/>
      <c r="H79" s="194"/>
      <c r="I79" s="194"/>
      <c r="J79" s="194"/>
      <c r="K79" s="194"/>
      <c r="L79" s="15"/>
      <c r="M79" s="22"/>
      <c r="N79" s="31"/>
      <c r="O79" s="32"/>
      <c r="P79" s="31"/>
      <c r="Q79" s="22"/>
      <c r="R79" s="32"/>
      <c r="S79" s="31"/>
      <c r="T79" s="32"/>
      <c r="U79" s="188"/>
      <c r="V79" s="188"/>
      <c r="W79" s="188"/>
      <c r="X79" s="188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</row>
    <row r="80" spans="1:39" s="14" customFormat="1" ht="11.25">
      <c r="A80" s="183"/>
      <c r="B80" s="1"/>
      <c r="C80" s="33"/>
      <c r="D80" s="198"/>
      <c r="E80" s="189"/>
      <c r="F80" s="1"/>
      <c r="G80" s="1"/>
      <c r="H80" s="37"/>
      <c r="I80" s="37"/>
      <c r="J80" s="37"/>
      <c r="K80" s="37"/>
      <c r="L80" s="1"/>
      <c r="M80" s="22"/>
      <c r="N80" s="31"/>
      <c r="O80" s="22"/>
      <c r="P80" s="31"/>
      <c r="Q80" s="22"/>
      <c r="R80" s="32"/>
      <c r="S80" s="31"/>
      <c r="T80" s="32"/>
      <c r="U80" s="188"/>
      <c r="V80" s="188"/>
      <c r="W80" s="188"/>
      <c r="X80" s="188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</row>
    <row r="81" spans="8:11" ht="11.25">
      <c r="H81" s="37"/>
      <c r="I81" s="37"/>
      <c r="J81" s="37"/>
      <c r="K81" s="37"/>
    </row>
    <row r="82" spans="2:12" ht="11.25">
      <c r="B82" s="32"/>
      <c r="C82" s="16"/>
      <c r="D82" s="186"/>
      <c r="E82" s="199"/>
      <c r="F82" s="55"/>
      <c r="G82" s="55"/>
      <c r="H82" s="200"/>
      <c r="I82" s="200"/>
      <c r="J82" s="200"/>
      <c r="K82" s="200"/>
      <c r="L82" s="32"/>
    </row>
    <row r="83" spans="1:39" s="14" customFormat="1" ht="11.25">
      <c r="A83" s="183"/>
      <c r="B83" s="1"/>
      <c r="C83" s="33"/>
      <c r="D83" s="198"/>
      <c r="E83" s="189"/>
      <c r="F83" s="1"/>
      <c r="G83" s="1"/>
      <c r="H83" s="1"/>
      <c r="I83" s="1"/>
      <c r="J83" s="1"/>
      <c r="K83" s="1"/>
      <c r="L83" s="1"/>
      <c r="M83" s="55"/>
      <c r="N83" s="55"/>
      <c r="O83" s="55"/>
      <c r="P83" s="55"/>
      <c r="Q83" s="55"/>
      <c r="R83" s="55"/>
      <c r="S83" s="55"/>
      <c r="T83" s="55"/>
      <c r="U83" s="55"/>
      <c r="V83" s="55"/>
      <c r="W83" s="55"/>
      <c r="X83" s="55"/>
      <c r="Y83" s="55"/>
      <c r="Z83" s="55"/>
      <c r="AA83" s="55"/>
      <c r="AB83" s="55"/>
      <c r="AC83" s="55"/>
      <c r="AD83" s="55"/>
      <c r="AE83" s="55"/>
      <c r="AF83" s="55"/>
      <c r="AG83" s="55"/>
      <c r="AH83" s="55"/>
      <c r="AI83" s="55"/>
      <c r="AJ83" s="55"/>
      <c r="AK83" s="55"/>
      <c r="AL83" s="55"/>
      <c r="AM83" s="55"/>
    </row>
  </sheetData>
  <printOptions gridLines="1"/>
  <pageMargins left="0.61" right="0.5" top="1" bottom="0.66" header="0.5" footer="0.5"/>
  <pageSetup orientation="portrait" paperSize="9" r:id="rId1"/>
  <headerFooter alignWithMargins="0">
    <oddHeader>&amp;CHAITSMA TROFEE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Dorpsstraat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lex van tol</dc:creator>
  <cp:keywords/>
  <dc:description/>
  <cp:lastModifiedBy>Pizdabolkin</cp:lastModifiedBy>
  <cp:lastPrinted>2006-04-08T18:32:24Z</cp:lastPrinted>
  <dcterms:created xsi:type="dcterms:W3CDTF">2006-04-02T09:39:47Z</dcterms:created>
  <dcterms:modified xsi:type="dcterms:W3CDTF">2006-05-01T19:41:27Z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-458451689</vt:i4>
  </property>
  <property fmtid="{D5CDD505-2E9C-101B-9397-08002B2CF9AE}" pid="3" name="_EmailSubject">
    <vt:lpwstr>protocol</vt:lpwstr>
  </property>
  <property fmtid="{D5CDD505-2E9C-101B-9397-08002B2CF9AE}" pid="4" name="_AuthorEmail">
    <vt:lpwstr>lex.van.tol@planet.nl</vt:lpwstr>
  </property>
  <property fmtid="{D5CDD505-2E9C-101B-9397-08002B2CF9AE}" pid="5" name="_AuthorEmailDisplayName">
    <vt:lpwstr>lex van tol</vt:lpwstr>
  </property>
  <property fmtid="{D5CDD505-2E9C-101B-9397-08002B2CF9AE}" pid="6" name="_ReviewingToolsShownOnce">
    <vt:lpwstr/>
  </property>
</Properties>
</file>